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740" windowHeight="3900" activeTab="0"/>
  </bookViews>
  <sheets>
    <sheet name="2010 Доходы" sheetId="1" r:id="rId1"/>
    <sheet name="2010 год Расходы" sheetId="2" r:id="rId2"/>
  </sheets>
  <definedNames>
    <definedName name="_xlnm._FilterDatabase" localSheetId="1" hidden="1">'2010 год Расходы'!$A$2:$F$314</definedName>
    <definedName name="Z_68D739FF_5646_4E03_A0B8_15BC6037AE1C_.wvu.PrintArea" localSheetId="0" hidden="1">'2010 Доходы'!$A$6:$G$59</definedName>
    <definedName name="Z_6C371A7D_151A_4AF4_8E89_7A519B7DD8C5_.wvu.PrintArea" localSheetId="0" hidden="1">'2010 Доходы'!$A$6:$G$59</definedName>
    <definedName name="Z_A5CE8DB9_E70F_4973_852C_11A60D40E044_.wvu.PrintArea" localSheetId="0" hidden="1">'2010 Доходы'!$A$6:$G$59</definedName>
    <definedName name="Z_A6987E0A_C97C_4578_BB67_DE54C31E7376_.wvu.Rows" localSheetId="0" hidden="1">'2010 Доходы'!#REF!</definedName>
    <definedName name="Z_AE6175C1_0833_439C_8720_E13BE4AF95BD_.wvu.Cols" localSheetId="0" hidden="1">'2010 Доходы'!$E:$E</definedName>
    <definedName name="Z_AE6175C1_0833_439C_8720_E13BE4AF95BD_.wvu.Rows" localSheetId="1" hidden="1">'2010 год Расходы'!$308:$315</definedName>
    <definedName name="Z_AE6175C1_0833_439C_8720_E13BE4AF95BD_.wvu.Rows" localSheetId="0" hidden="1">'2010 Доходы'!$16:$17,'2010 Доходы'!$20:$22,'2010 Доходы'!$26:$26,'2010 Доходы'!$28:$28,'2010 Доходы'!$30:$30,'2010 Доходы'!$32:$34,'2010 Доходы'!$37:$37,'2010 Доходы'!$40:$40,'2010 Доходы'!$43:$45,'2010 Доходы'!$49:$51,'2010 Доходы'!$61:$64,'2010 Доходы'!$67:$70</definedName>
    <definedName name="Z_B08AB559_566D_4D9E_9417_9591DBFD1C24_.wvu.PrintArea" localSheetId="0" hidden="1">'2010 Доходы'!$A$6:$G$59</definedName>
    <definedName name="Z_C8637046_FD8D_44DC_B5E5_BEF018C46E0B_.wvu.Cols" localSheetId="0" hidden="1">'2010 Доходы'!$E:$E</definedName>
    <definedName name="Z_C8637046_FD8D_44DC_B5E5_BEF018C46E0B_.wvu.PrintTitles" localSheetId="1" hidden="1">'2010 год Расходы'!$2:$2</definedName>
    <definedName name="Z_C8637046_FD8D_44DC_B5E5_BEF018C46E0B_.wvu.PrintTitles" localSheetId="0" hidden="1">'2010 Доходы'!$8:$11</definedName>
    <definedName name="Z_C8637046_FD8D_44DC_B5E5_BEF018C46E0B_.wvu.Rows" localSheetId="1" hidden="1">'2010 год Расходы'!#REF!,'2010 год Расходы'!#REF!,'2010 год Расходы'!#REF!,'2010 год Расходы'!$283:$283,'2010 год Расходы'!$286:$288,'2010 год Расходы'!$308:$314</definedName>
    <definedName name="Z_C8637046_FD8D_44DC_B5E5_BEF018C46E0B_.wvu.Rows" localSheetId="0" hidden="1">'2010 Доходы'!$16:$17,'2010 Доходы'!$20:$22,'2010 Доходы'!$26:$26,'2010 Доходы'!$28:$30,'2010 Доходы'!$32:$34,'2010 Доходы'!$37:$37,'2010 Доходы'!$40:$40,'2010 Доходы'!$43:$45,'2010 Доходы'!$49:$51,'2010 Доходы'!$61:$64,'2010 Доходы'!$67:$69</definedName>
    <definedName name="Z_D78BB152_F5E5_490E_82A7_195113739BF3_.wvu.PrintArea" localSheetId="0" hidden="1">'2010 Доходы'!$A$6:$G$59</definedName>
    <definedName name="Z_F451EF8B_2BDF_4578_8790_8D6BA6E84C95_.wvu.Rows" localSheetId="1" hidden="1">'2010 год Расходы'!$308:$315</definedName>
    <definedName name="Z_F451EF8B_2BDF_4578_8790_8D6BA6E84C95_.wvu.Rows" localSheetId="0" hidden="1">'2010 Доходы'!$16:$17,'2010 Доходы'!$20:$22,'2010 Доходы'!$26:$26,'2010 Доходы'!$28:$30,'2010 Доходы'!$32:$34,'2010 Доходы'!$37:$37,'2010 Доходы'!$40:$40,'2010 Доходы'!$43:$45,'2010 Доходы'!$49:$51,'2010 Доходы'!$61:$64,'2010 Доходы'!$67:$70</definedName>
    <definedName name="_xlnm.Print_Titles" localSheetId="1">'2010 год Расходы'!$3:$3</definedName>
    <definedName name="_xlnm.Print_Titles" localSheetId="0">'2010 Доходы'!$11:$11</definedName>
    <definedName name="_xlnm.Print_Area" localSheetId="0">'2010 Доходы'!$A$1:$X$69</definedName>
  </definedNames>
  <calcPr fullCalcOnLoad="1"/>
</workbook>
</file>

<file path=xl/comments1.xml><?xml version="1.0" encoding="utf-8"?>
<comments xmlns="http://schemas.openxmlformats.org/spreadsheetml/2006/main">
  <authors>
    <author>Your User Name</author>
  </authors>
  <commentList>
    <comment ref="G44" authorId="0">
      <text>
        <r>
          <rPr>
            <b/>
            <sz val="8"/>
            <rFont val="Tahoma"/>
            <family val="2"/>
          </rPr>
          <t>отрегулир.  На 97 код 201706</t>
        </r>
        <r>
          <rPr>
            <sz val="8"/>
            <rFont val="Tahoma"/>
            <family val="2"/>
          </rPr>
          <t xml:space="preserve">
</t>
        </r>
      </text>
    </comment>
    <comment ref="H44" authorId="0">
      <text>
        <r>
          <rPr>
            <b/>
            <sz val="8"/>
            <rFont val="Tahoma"/>
            <family val="2"/>
          </rPr>
          <t>отрегулир.  На 97 код 201706</t>
        </r>
        <r>
          <rPr>
            <sz val="8"/>
            <rFont val="Tahoma"/>
            <family val="2"/>
          </rPr>
          <t xml:space="preserve">
</t>
        </r>
      </text>
    </comment>
    <comment ref="J44" authorId="0">
      <text>
        <r>
          <rPr>
            <b/>
            <sz val="8"/>
            <rFont val="Tahoma"/>
            <family val="2"/>
          </rPr>
          <t>отрегулир.  На 97 код 201706</t>
        </r>
        <r>
          <rPr>
            <sz val="8"/>
            <rFont val="Tahoma"/>
            <family val="2"/>
          </rPr>
          <t xml:space="preserve">
</t>
        </r>
      </text>
    </comment>
    <comment ref="I44" authorId="0">
      <text>
        <r>
          <rPr>
            <b/>
            <sz val="8"/>
            <rFont val="Tahoma"/>
            <family val="2"/>
          </rPr>
          <t>отрегулир.  На 97 код 201706</t>
        </r>
        <r>
          <rPr>
            <sz val="8"/>
            <rFont val="Tahoma"/>
            <family val="2"/>
          </rPr>
          <t xml:space="preserve">
</t>
        </r>
      </text>
    </comment>
    <comment ref="L44" authorId="0">
      <text>
        <r>
          <rPr>
            <b/>
            <sz val="8"/>
            <rFont val="Tahoma"/>
            <family val="2"/>
          </rPr>
          <t>отрегулир.  На 97 код 201706</t>
        </r>
        <r>
          <rPr>
            <sz val="8"/>
            <rFont val="Tahoma"/>
            <family val="2"/>
          </rPr>
          <t xml:space="preserve">
</t>
        </r>
      </text>
    </comment>
    <comment ref="M44" authorId="0">
      <text>
        <r>
          <rPr>
            <b/>
            <sz val="8"/>
            <rFont val="Tahoma"/>
            <family val="2"/>
          </rPr>
          <t>отрегулир.  На 97 код 201706</t>
        </r>
        <r>
          <rPr>
            <sz val="8"/>
            <rFont val="Tahoma"/>
            <family val="2"/>
          </rPr>
          <t xml:space="preserve">
</t>
        </r>
      </text>
    </comment>
    <comment ref="N44" authorId="0">
      <text>
        <r>
          <rPr>
            <b/>
            <sz val="8"/>
            <rFont val="Tahoma"/>
            <family val="2"/>
          </rPr>
          <t>отрегулир.  На 97 код 201706</t>
        </r>
        <r>
          <rPr>
            <sz val="8"/>
            <rFont val="Tahoma"/>
            <family val="2"/>
          </rPr>
          <t xml:space="preserve">
</t>
        </r>
      </text>
    </comment>
    <comment ref="O44" authorId="0">
      <text>
        <r>
          <rPr>
            <b/>
            <sz val="8"/>
            <rFont val="Tahoma"/>
            <family val="2"/>
          </rPr>
          <t>отрегулир.  На 97 код 201706</t>
        </r>
        <r>
          <rPr>
            <sz val="8"/>
            <rFont val="Tahoma"/>
            <family val="2"/>
          </rPr>
          <t xml:space="preserve">
</t>
        </r>
      </text>
    </comment>
    <comment ref="P44" authorId="0">
      <text>
        <r>
          <rPr>
            <b/>
            <sz val="8"/>
            <rFont val="Tahoma"/>
            <family val="2"/>
          </rPr>
          <t>отрегулир.  На 97 код 201706</t>
        </r>
        <r>
          <rPr>
            <sz val="8"/>
            <rFont val="Tahoma"/>
            <family val="2"/>
          </rPr>
          <t xml:space="preserve">
</t>
        </r>
      </text>
    </comment>
    <comment ref="Q44" authorId="0">
      <text>
        <r>
          <rPr>
            <b/>
            <sz val="8"/>
            <rFont val="Tahoma"/>
            <family val="2"/>
          </rPr>
          <t>отрегулир.  На 97 код 201706</t>
        </r>
        <r>
          <rPr>
            <sz val="8"/>
            <rFont val="Tahoma"/>
            <family val="2"/>
          </rPr>
          <t xml:space="preserve">
</t>
        </r>
      </text>
    </comment>
    <comment ref="R44" authorId="0">
      <text>
        <r>
          <rPr>
            <b/>
            <sz val="8"/>
            <rFont val="Tahoma"/>
            <family val="2"/>
          </rPr>
          <t>отрегулир.  На 97 код 201706</t>
        </r>
        <r>
          <rPr>
            <sz val="8"/>
            <rFont val="Tahoma"/>
            <family val="2"/>
          </rPr>
          <t xml:space="preserve">
</t>
        </r>
      </text>
    </comment>
    <comment ref="S44" authorId="0">
      <text>
        <r>
          <rPr>
            <b/>
            <sz val="8"/>
            <rFont val="Tahoma"/>
            <family val="2"/>
          </rPr>
          <t>отрегулир.  На 97 код 201706</t>
        </r>
        <r>
          <rPr>
            <sz val="8"/>
            <rFont val="Tahoma"/>
            <family val="2"/>
          </rPr>
          <t xml:space="preserve">
</t>
        </r>
      </text>
    </comment>
    <comment ref="T44" authorId="0">
      <text>
        <r>
          <rPr>
            <b/>
            <sz val="8"/>
            <rFont val="Tahoma"/>
            <family val="2"/>
          </rPr>
          <t>отрегулир.  На 97 код 201706</t>
        </r>
        <r>
          <rPr>
            <sz val="8"/>
            <rFont val="Tahoma"/>
            <family val="2"/>
          </rPr>
          <t xml:space="preserve">
</t>
        </r>
      </text>
    </comment>
    <comment ref="U44" authorId="0">
      <text>
        <r>
          <rPr>
            <b/>
            <sz val="8"/>
            <rFont val="Tahoma"/>
            <family val="2"/>
          </rPr>
          <t>отрегулир.  На 97 код 201706</t>
        </r>
        <r>
          <rPr>
            <sz val="8"/>
            <rFont val="Tahoma"/>
            <family val="2"/>
          </rPr>
          <t xml:space="preserve">
</t>
        </r>
      </text>
    </comment>
    <comment ref="W44" authorId="0">
      <text>
        <r>
          <rPr>
            <b/>
            <sz val="8"/>
            <rFont val="Tahoma"/>
            <family val="2"/>
          </rPr>
          <t>отрегулир.  На 97 код 201706</t>
        </r>
        <r>
          <rPr>
            <sz val="8"/>
            <rFont val="Tahoma"/>
            <family val="2"/>
          </rPr>
          <t xml:space="preserve">
</t>
        </r>
      </text>
    </comment>
    <comment ref="X44" authorId="0">
      <text>
        <r>
          <rPr>
            <b/>
            <sz val="8"/>
            <rFont val="Tahoma"/>
            <family val="2"/>
          </rPr>
          <t>отрегулир.  На 97 код 201706</t>
        </r>
        <r>
          <rPr>
            <sz val="8"/>
            <rFont val="Tahoma"/>
            <family val="2"/>
          </rPr>
          <t xml:space="preserve">
</t>
        </r>
      </text>
    </comment>
    <comment ref="V44" authorId="0">
      <text>
        <r>
          <rPr>
            <b/>
            <sz val="8"/>
            <rFont val="Tahoma"/>
            <family val="2"/>
          </rPr>
          <t>отрегулир.  На 97 код 201706</t>
        </r>
        <r>
          <rPr>
            <sz val="8"/>
            <rFont val="Tahoma"/>
            <family val="2"/>
          </rPr>
          <t xml:space="preserve">
</t>
        </r>
      </text>
    </comment>
  </commentList>
</comments>
</file>

<file path=xl/sharedStrings.xml><?xml version="1.0" encoding="utf-8"?>
<sst xmlns="http://schemas.openxmlformats.org/spreadsheetml/2006/main" count="850" uniqueCount="599">
  <si>
    <t>Подготовка и участие членов областных сборных команд по различным видам спорта на республиканских и международных спортивных соревнованиях</t>
  </si>
  <si>
    <t>Регулирование туристской деятельности</t>
  </si>
  <si>
    <t>Управление культуры области</t>
  </si>
  <si>
    <t>Поддержка культурно-досуговой работы</t>
  </si>
  <si>
    <t>Обеспечение сохранности историко-культурного наследия и доступа к ним</t>
  </si>
  <si>
    <t>Поддержка театрального и музыкального искусства</t>
  </si>
  <si>
    <t>Обеспечение функционирования областных библиотек</t>
  </si>
  <si>
    <t>Управление внутренней политики области</t>
  </si>
  <si>
    <t>Реализация региональных программ в сфере молодежной политики</t>
  </si>
  <si>
    <t>Управление по развитию языков области</t>
  </si>
  <si>
    <t>Развитие государственного языка и других языков народа Казахстана</t>
  </si>
  <si>
    <t>Развитие объектов культуры</t>
  </si>
  <si>
    <t>Сельское, водное, лесное, рыбное хозяйство, особо охраняемые природные территории, охрана окружающей среды и животного мира, земельные отношения</t>
  </si>
  <si>
    <t>Управление земельных отношений области</t>
  </si>
  <si>
    <t>Управление природных ресурсов и регулирования природопользования области</t>
  </si>
  <si>
    <t>Охрана,защита,воспроизводство лесов и лесоразведение</t>
  </si>
  <si>
    <t>Управление сельского хозяйства области</t>
  </si>
  <si>
    <t>Развитие информационно-маркетинговой системы сельского хозяйства</t>
  </si>
  <si>
    <t>Субсидирование стоимости услуг  по подаче питьевой воды из особо важных групповых и локальных систем водоснабжения, являющихся безальтернативными источниками питьевого водоснабжения</t>
  </si>
  <si>
    <t>Обезвреживание пестицидов (ядохимикатов)</t>
  </si>
  <si>
    <t>Промышленность, архитектурная, градостроительная и строительная деятельность</t>
  </si>
  <si>
    <t>Управление государственного архитектурно-строительного контроля области</t>
  </si>
  <si>
    <t>Управление архитектуры и градостроительства области</t>
  </si>
  <si>
    <t>Транспорт и коммуникации</t>
  </si>
  <si>
    <t>Управление пассажирского транспорта и автомобильных дорог области</t>
  </si>
  <si>
    <t>Прочие</t>
  </si>
  <si>
    <t>Формирование или увеличение уставного капитала юридических лиц</t>
  </si>
  <si>
    <t>Резерв местного исполнительного органа области</t>
  </si>
  <si>
    <t>Управление предпринимательства и промышленности области</t>
  </si>
  <si>
    <t>Трансферты</t>
  </si>
  <si>
    <t>Субвенции</t>
  </si>
  <si>
    <t>Погашение займов</t>
  </si>
  <si>
    <t>Погашение долга местного исполнительного органа</t>
  </si>
  <si>
    <t>Наименование</t>
  </si>
  <si>
    <t>Сумма</t>
  </si>
  <si>
    <t xml:space="preserve">1 </t>
  </si>
  <si>
    <t>I. КІРІСТЕР</t>
  </si>
  <si>
    <t>I. ДОХОДЫ</t>
  </si>
  <si>
    <t>1</t>
  </si>
  <si>
    <t>Салықтық түсімдер</t>
  </si>
  <si>
    <t>Налоговые поступления</t>
  </si>
  <si>
    <t>01</t>
  </si>
  <si>
    <t>Табыс салығы</t>
  </si>
  <si>
    <t>Подоходный налог</t>
  </si>
  <si>
    <t>2</t>
  </si>
  <si>
    <t>Жеке табыс салығы</t>
  </si>
  <si>
    <t>Индивидуальный подоходный налог</t>
  </si>
  <si>
    <t>Төлем көзінен ұсталатын жеке табыс салығы</t>
  </si>
  <si>
    <t>Индивидуальный подоходный налог с доходов, облагаемых у источника выплаты</t>
  </si>
  <si>
    <t>04</t>
  </si>
  <si>
    <t xml:space="preserve">Төлем көзінен салық салынатын шетелдік  азаматтар табыстарынан ұсталатын жеке табыс салығы
</t>
  </si>
  <si>
    <t>Индивидуальный подоходный налог с доходов
иностранных граждан, облагаемых у источника выплаты</t>
  </si>
  <si>
    <t>05</t>
  </si>
  <si>
    <t>Внутренние налоги на товары, работы и услуги</t>
  </si>
  <si>
    <t>3</t>
  </si>
  <si>
    <t>Поступления за использование природных и других ресурсов</t>
  </si>
  <si>
    <t>03</t>
  </si>
  <si>
    <t>Жер бетіне жақын көздердегі су ресурстарын пайдаланѓаны үшін төлем</t>
  </si>
  <si>
    <t>Целевые текущие трансферты областным бюджетам, бюджетам городов Астаны и Алматы в случаях возникновения чрезывачайных ситуаций природного и техногенного характера, угрожающих политической, экономической и социальной стабильности административно-территориальной единицы, жизни и здоровью людей, проведения мероприятий общереспубликанского либо международного значения</t>
  </si>
  <si>
    <t>Облыстық бюджеттерге, Астана және Алматы қалаларының бюджеттеріне  әкiмшiлiк-аумақтық бiрлiктiң саяси, экономикалық және әлеуметтiк тұрақтылығына, адамдардың өмiрi мен денсаулығына қатер төндiретiн табиғи және техногендік сипаттағы төтенше жағдайлар туындаған жағдайда жалпы республикалық немесе халықаралық маңызы бар іс-шаралар жүргізуге  берілетін ағымдағы нысаналы трансферттер</t>
  </si>
  <si>
    <t>Плата за пользование водными ресурсами поверхностных источников</t>
  </si>
  <si>
    <t>Размещение государственного социального заказа  в неправительственном секторе за счет целевых трансферов из республиканского бюджета</t>
  </si>
  <si>
    <t>Республикалық бюджеттен берілетін нысаналы трансферттер есебiнен үкіметтік емес секторда мемлекеттік әлеуметтік тапсырысты орналастыру</t>
  </si>
  <si>
    <t>Аудандар (облыстық маңызы бар қалалар) бюджеттеріне ең төменгі күнкөріс деңгейі мөлшерінің өсуіне байланысты мемлекеттік атаулы әлеуметтік көмек пен 18 жасқа дейінгі балаларға ай сайынғы мемлекеттік жәрдемақы төлеуге берілетін ағымдағы нысаналы трансферттер</t>
  </si>
  <si>
    <t>Целевые текущие трансферты бюджетам районов (городов областного значения) на увеличение норм питания в медико-социальных учреждениях</t>
  </si>
  <si>
    <t>Аудандар (облыстық маңызы бар қалалар) бюджеттеріне медициналық-әлеуметтік мекемелерде тамақтану нормаларын ұлғайтуға берілетін ағымдағы нысаналы трансферттер</t>
  </si>
  <si>
    <t>Целевые текущие трансферты бюджетам районов (городов областного значения) на развитие сети отделений дневного пребывания в медико-социальных учреждениях</t>
  </si>
  <si>
    <t>Аудандар (облыстық маңызы бар қалалар) бюджеттеріне медициналық-әлеуметтік мекемелерде  күндіз емделу бөлімшелері желісін дамытуға  берілетін ағымдағы нысаналы трансферттер</t>
  </si>
  <si>
    <t>Возврат неиспользованных (недоиспользованных) целевых трансфертов</t>
  </si>
  <si>
    <t>Целевые текущие трансферты бюджетам районов (городов областного значения) на расширение программы социальных рабочих мест и молодежной практики</t>
  </si>
  <si>
    <t>Аудандар (облыстық маңызы бар қалалар) бюджеттеріне әлеуметтік жұмыс орындары және жастар тәжірибесі бағдарламасын кеңейтуге ағымдағы нысаналы трансферттер</t>
  </si>
  <si>
    <t>Целевые текущие трансферты бюджетам районов (городов областного значения) для реализации мер социальной поддержки специалистов социальной сферы сельских населенных пунктов</t>
  </si>
  <si>
    <t>Аудандардың (облыстық маңызы бар қалалардың) бюджеттеріне ауылдық елді мекендер саласының мамандарын әлеуметтік қолдау шараларын іске асыру үшін берілетін ағымдағы нысаналы трансферттер</t>
  </si>
  <si>
    <t>Орманды пайдаланғаны үшiн төлем</t>
  </si>
  <si>
    <t>Плата за  лесные пользования</t>
  </si>
  <si>
    <t>16</t>
  </si>
  <si>
    <t>Қоршаған ортаға эмиссия  үшін төленетін төлемақы</t>
  </si>
  <si>
    <t>Плата за эмиссии в  окружающую среду</t>
  </si>
  <si>
    <t>Салықтық емес түсiмдер</t>
  </si>
  <si>
    <t>Неналоговые поступления</t>
  </si>
  <si>
    <t>Доходы от государственной собственности</t>
  </si>
  <si>
    <t>Мемлекеттік кәсіпорындардың таза кірісі бөлігінің түсімдері</t>
  </si>
  <si>
    <t>Поступления части чистого дохода государственных предприятий</t>
  </si>
  <si>
    <t>02</t>
  </si>
  <si>
    <t>Коммуналдық мемлекеттік кәсіпорындардың таза кірісінің бір бөлігінің түсімдері</t>
  </si>
  <si>
    <t>Поступления части чистого дохода коммунальных государственных предприятий</t>
  </si>
  <si>
    <t>5</t>
  </si>
  <si>
    <t>Мемлекет меншігіндегі мүлікті жалға беруден түсетін кірістер</t>
  </si>
  <si>
    <t>Доходы от аренды  имущества, находящегося в государственной собственности</t>
  </si>
  <si>
    <t>Коммуналдық меншіктегі мүлікті жалдаудан түсетін кірістер</t>
  </si>
  <si>
    <t>Доходы от аренды имущества, находящегося в коммунальной собственности</t>
  </si>
  <si>
    <t>6</t>
  </si>
  <si>
    <t>Вознаграждения (интересы), полученные от размещения в депозиты временно свободных бюджетных денег</t>
  </si>
  <si>
    <t>7</t>
  </si>
  <si>
    <t xml:space="preserve">Мемлекеттік бюджеттен берілген кредиттер бойынша сыйақылар </t>
  </si>
  <si>
    <t>Вознаграждения по кредитам, выданным из государственного бюджета</t>
  </si>
  <si>
    <t>06</t>
  </si>
  <si>
    <t xml:space="preserve">Қарыз алушы банктерге жергілікті бюджеттен берілген бюджеттік кредиттер бойынша сыйақылар </t>
  </si>
  <si>
    <t>Вознаграждения  по бюджетным кредитам, выданным из местного бюджета банкам-заемщикам</t>
  </si>
  <si>
    <t>11</t>
  </si>
  <si>
    <t>Вознаграждения (интересы) по бюджетным кредитам, выданным из местного бюджета до 2005 года юридическим лицам</t>
  </si>
  <si>
    <t>13</t>
  </si>
  <si>
    <t>Вознаграждения (интересы) по бюджетным кредитам, выданным из местного бюджета физическим лицам</t>
  </si>
  <si>
    <t>Мемлекеттік бюджеттен қаржыландырылатын  мемлекеттік мекемелердің тауарларды (жұмыстарды, қызметтерді) өткізуінен түсетін түсімдер</t>
  </si>
  <si>
    <t>Балаларға арналған психоневрологиялық дәрігерлік-әлеуметтік мекемелердегі (ұйымдардағы) психоневрологиялық паталогиялы мүгедек балалар үшін арнайы әлеуметтік қызметтер ұсыну</t>
  </si>
  <si>
    <t>Поступления от реализации товаров (работ, услуг) государственными учреждениями, финансируемыми из государственного бюджета</t>
  </si>
  <si>
    <t>Жергілікті бюджеттен қаржыландырылатын мемлекеттік мекемелер көрсететін қызметтерді сатудан түсетін түсімдер</t>
  </si>
  <si>
    <t>Поступления от реализации услуг, предоставляемых государственными  учреждениями, финансируемыми из местного бюджета</t>
  </si>
  <si>
    <t>Целевые текущие  трансферты бюджетам районов (городов областного значения)  на внедрение новых технологий государственной системы в сфере  образования</t>
  </si>
  <si>
    <t xml:space="preserve">Аудандар (облыстық маңызы бар қалалар) бюджеттеріне білім беру саласында мемлекеттік жүйенің жаңа технологияларын енгізуге берілетін ағымдағы нысаналы трансферттер </t>
  </si>
  <si>
    <t>Целевые текущие трансферты бюджетам районов (городов областного значения) на реализацию государственного образовательного заказа в дошкольных организациях образования</t>
  </si>
  <si>
    <t>Целевые текущие трансферты из республиканского бюджета бюджетам районов (городов областного значения) на обеспечение проезда участникам и инвалидам Великой Отечественной войны по странам Содружества Независимых Государств, по территории Республики Казахстан, а также оплаты им и сопровождающим их лицам расходов на питание, проживание, проезд для участия в праздничных мероприятиях в городах Москва, Астана к 65-летию Победы в Великой Отечественной войне</t>
  </si>
  <si>
    <t>Целевые текущие трансферты из республиканского бюджета бюджетам районов (городов областного значения) для выплаты единовременной материальной помощи участникам и инвалидам Великой Отечественной войны, а также лицам, приравненным к ним, военнослужащим, в том числе уволенным в запас (отставку), проходившим  военную службу в период с 22 июня 1941 года  по 3 сентября 1945 года в воинских частях, учреждениях, в военно-учебных заведениях, не входивших в состав действующей армии, награжденным медалью «За победу над Германией в Великой Отечественной войне 1941-1945 гг.» или медалью «За победу над Японией», проработавшим (прослужившим) не менее шести месяцев в тылу в годы Великой Отечественной войны к 65-летию Победы в Великой Отечественной войне</t>
  </si>
  <si>
    <t>Целевые трансферты на развитие из республиканского бюджета бюджетам  районов (городов областного значения) на строительство и реконструкцию объектов образования</t>
  </si>
  <si>
    <t>Проведение операции «Мак»</t>
  </si>
  <si>
    <t>Целевые текущие трансферты из областного бюджета бюджетам районов (городов областного значения) для выплаты единовременной материальной помощи участникам и инвалидам Великой Отечественной войны, а также лицам, приравненным к ним, военнослужащим, в том числе уволенным в запас (отставку), проходившим  военную службу в период с 22 июня 1941 года  по 3 сентября 1945 года в воинских частях, учреждениях, в военно-учебных заведениях, не входивших в состав действующей армии, награжденным медалью «За победу над Германией в Великой Отечественной войне 1941-1945 гг.» или медалью «За победу над Японией», проработавшим (прослужившим) не менее шести месяцев в тылу в годы Великой Отечественной войны к 65-летию Победы в Великой Отечественной войне</t>
  </si>
  <si>
    <t>Капитальный ремонт зданий, помещений и сооружений медицинских организаций</t>
  </si>
  <si>
    <t>Целевые текущие трансферты из местных</t>
  </si>
  <si>
    <t>Целевые текущие трансферты из республиканского бюджета бюджетам районов (городов областного значения) на обеспечение учебными материалами дошкольных организаций образования, организаций среднего, технического и профессионального, послесреднего образования, институтов повышения квалификации по предмету «Самопознание»</t>
  </si>
  <si>
    <t>Целевые трансферты на развитие из областного бюджета бюджетам  районов (городов областного значения) на строительство и реконструкцию объектов образования</t>
  </si>
  <si>
    <t>Целевые трансферты на развитие из республиканского бюджета бюджетам районов (городов областного значения) на строительство и (или) приобретение жилья государственного коммунального жилищного фонда</t>
  </si>
  <si>
    <t>Целевые трансферты на развитие из республиканского бюджета бюджетам районов (городов областного значения) на развитие, обустройство и (или) приобретение инженерно-коммуникационной инфраструктуры</t>
  </si>
  <si>
    <t>Целевые текущие трансферты из республиканского бюджета бюджетам  районов (городов областного значения) на ремонт инженерно-коммуникационной инфраструктуры  и благоустройство населенных пунктов в рамках реализации стратегии региональной занятости и переподготовки кадров</t>
  </si>
  <si>
    <t>Целевые трансферты на развитие из республиканского бюджета бюджетам  районов (городов областного значения) на развитие инженерно-коммуникационной инфраструктуры и благоустройство населенных пунктов в рамках реализации стратегии региональной занятости и переподготовки кадров</t>
  </si>
  <si>
    <t>Целевые трансферты на развитие из областного бюджета бюджетам  районов (городов областного значения) на развитие инженерно-коммуникационной инфраструктуры и благоустройство населенных пунктов в рамках реализации стратегии региональной занятости и переподготовки кадров</t>
  </si>
  <si>
    <t>Услуги по транспортировке ветеринарных препаратов до пункта временного хранения</t>
  </si>
  <si>
    <t xml:space="preserve">Уақытша сақтау пунктына ветеринариялық препараттарды тасымалдау бойынша қызмет көрсету </t>
  </si>
  <si>
    <t>Материально-техническое оснащение государственных органов здравоохранения</t>
  </si>
  <si>
    <t>Ішкі істер органдарының объектілерін дамыту</t>
  </si>
  <si>
    <t>Реализация мероприятий по профилактике и борьбе со СПИД в Республике Казахстан</t>
  </si>
  <si>
    <t>Қазақстан Республикасында ЖҚТБ індетінің алдын алу және қарсы күрес жөніндегі іс-шараларды іске асыру</t>
  </si>
  <si>
    <t>Мемлекеттік денсаулық сақтау органдарының материалдық-техникалық жарақтандыру</t>
  </si>
  <si>
    <t xml:space="preserve">Мемлекеттік денсаулық сақтау ұйымдарының ғимараттарын, үй-жайлары  мен құрылыстарын күрделі жөндеу </t>
  </si>
  <si>
    <t>Аудандар (облыстық маңызы бар қалалар) бюджеттеріне «Өзін-өзі тану» пәні бойынша мектепке дейінгі білім беру ұйымдарын, орта білім беру,  техникалық және кәсіптік білім беру,  орта білімнен кейінгі білім беру ұйымдарын, біліктілікті арттыру институттарын оқу материалдарымен қамтамасыз етуге арналған республикалық бюджеттен бөлінетін ағымдағы нысаналы трансферттер</t>
  </si>
  <si>
    <t>Мектепке дейінгі білім беру ұйымдарында мемлекеттік білім беру тапсырыстарын іске асыруға аудандардың (облыстық маңызы бар қалалардың) бюджеттеріне берілетін ағымдағы нысаналы трансферттер</t>
  </si>
  <si>
    <t xml:space="preserve">Аудандардың (облыстық маңызы бар қалалардың) бюджеттеріне Ұлы Отан соғысындағы Жеңістің 65 жылдығына орай Ұлы Отан соғысының қатысушылары мен мүгедектеріне Тәуелсіз Мемлекеттер Достастығы елдері бойынша, Қазақстан Республикасының аумағы бойынша жол жүруін, сондай-ақ оларға және олармен бірге жүретін адамдарға Мәскеу, Астана қалаларында мерекелік іс-шараларға қатысуы үшін тамақтануына, тұруына, жол жүруіне арналған шығыстарды төлеуді қамтамасыз етуге берілетін республикалық бюджеттен берілетін ағымдағы нысаналы трансферттер </t>
  </si>
  <si>
    <t xml:space="preserve"> Аудандардың (облыстық маңызы бар қалалардың) бюджеттеріне Ұлы Отан соғысындағы Жеңістің 65 жылдығына орай Ұлы Отан соғысының қатысушылары мен мүгедектеріне, сондай-ақ оларға теңестірілген,  оның ішінде майдандағы армия құрамына кірмеген, 1941 жылғы 22 маусымнан бастап 1945 жылғы 3 қыркүйек аралығындағы кезеңде әскери бөлімшелерде, мекемелерде, әскери-оқу орындарында әскери қызметтен өткен, запасқа босатылған (отставка), «1941-1945 жж. Ұлы Отан соғысында Германияны жеңгенi үшiн» медалімен немесе «Жапонияны жеңгені үшін»  медалімен марапатталған әскери қызметшілерге, Ұлы Отан соғысы жылдарында тылда кемінде алты ай жұмыс істеген (қызметте болған) адамдарға біржолғы материалдық көмек төлеу үшін республикалық бюджеттен берілетін  ағымдағы нысаналы трансферттер</t>
  </si>
  <si>
    <t xml:space="preserve"> Аудандардың (облыстық маңызы бар қалалардың) бюджеттеріне Ұлы Отан соғысындағы Жеңістің 65 жылдығына орай Ұлы Отан соғысының қатысушылары мен мүгедектеріне, сондай-ақ оларға теңестірілген,  оның ішінде майдандағы армия құрамына кірмеген, 1941 жылғы 22 маусымнан бастап 1945 жылғы 3 қыркүйек аралығындағы кезеңде әскери бөлімшелерде, мекемелерде, әскери-оқу орындарында әскери қызметтен өткен, запасқа босатылған (отставка), «1941-1945 жж. Ұлы Отан соғысында Германияны жеңгенi үшiн» медалімен немесе «Жапонияны жеңгені үшін»  медалімен марапатталған әскери қызметшілерге, Ұлы Отан соғысы жылдарында тылда кемінде алты ай жұмыс істеген (қызметте болған) адамдарға біржолғы материалдық көмек төлеу үшін облыстық бюджеттен берілетін  ағымдағы нысаналы трансферттер</t>
  </si>
  <si>
    <t>Аудандардың (облыстық маңызы бар қалалардың) бюджеттеріне мемлекеттік коммуналдық тұрғын үй қорының тұрғын үйлерін салуға және (немесе) сатып алуға республикалық бюджеттен берілетін нысаналы даму трансферттері</t>
  </si>
  <si>
    <t>Аудандардың (облыстық маңызы бар қалалардың) бюджеттеріне инженерлік-коммуникациялық инфрақұрылымды дамытуға, жайластыруға және (немесе) сатып алуға республикалық бюджеттен берілетін нысаналы даму трансферттері</t>
  </si>
  <si>
    <t>Целевые текущие трансферты из областного бюджета бюджетам  районов (городов областного значения)на ремонт инженерно-коммуникационной инфраструктуры  и благоустройство населенных пунктов в рамках реализации стратегии региональной занятости и переподготовки кадров</t>
  </si>
  <si>
    <t>Аудандардың (облыстық маңызы бар қалалардың) бюджеттеріне  өңірлік жұмыспен қамту және кадрларды қайта даярлау стратегиясын іске асыру шеңберінде инженерлік-коммуникациялық инфрақұрылымды жөндеуге және елді мекендерді абаттандыруға республикалық бюджеттен берілетін ағымдағы нысаналы трансферттер</t>
  </si>
  <si>
    <t>Аудандардың (облыстық маңызы бар қалалардың) бюджеттеріне  өңірлік жұмыспен қамту және кадрларды қайта даярлау стратегиясын іске асыру шеңберінде инженерлік-коммуникациялық инфрақұрылымды жөндеуге және елді мекендерді абаттандыруға облыстық бюджеттен берілетін ағымдағы нысаналы трансферттер</t>
  </si>
  <si>
    <t>Аудандардың (облыстық маңызы бар қалалардың) бюджеттеріне  өңірлік жұмыспен қамту және кадрларды қайта даярлау стратегиясын іске асыру шеңберінде инженерлік-коммуникациялық инфрақұрылымды дамытуға және елді мекендерді абаттандыруға республикалық бюджеттен берілетін ағымдағы нысаналы трансферттер</t>
  </si>
  <si>
    <t>Аудандардың (облыстық маңызы бар қалалардың) бюджеттеріне  өңірлік жұмыспен қамту және кадрларды қайта даярлау стратегиясын іске асыру шеңберінде инженерлік-коммуникациялық инфрақұрылымды дамытуға және елді мекендерді абаттандыруға облыстық бюджеттен берілетін ағымдағы нысаналы трансферттер</t>
  </si>
  <si>
    <t xml:space="preserve">Газеттер мен журналдар арқылы мемлекеттік ақпараттық саясат жүргізу жөніндегі қызметтер  </t>
  </si>
  <si>
    <t>Телерадио хабарларын тарату арқылы мемлекеттік ақпараттық саясатты жүргізу жөніндегі қызметтер</t>
  </si>
  <si>
    <t>Целевые текущие трансферты из областного бюджета  бюджетам районов (городов областного значения) на финансирование социальных проектов в поселках, аулах (селах), аульных (сельских) округах в рамках реализации стратегии региональной занятости и переподготовки кадров</t>
  </si>
  <si>
    <t>Аудандардың (облыстық маңызы бар қалалардың) бюджеттеріне өңірлік жұмыспен қамту және кадрларды қайта даярлау стратегиясын іске асыру шеңберінде кенттерге, ауылдарда (селоларда), ауылдық (селолық) округтерде әлеуметтік жобаларды қаржыландыруға облыстық бюджеттен берілетін ағымдағы нысаналы трансферттер</t>
  </si>
  <si>
    <t>Целевые текущие трансферты из республиканского бюджета бюджетам районов (городов областного значения) на капитальный, текущий ремонт объектов образования в рамках реализации стратегии региональной занятости и переподготовки кадров</t>
  </si>
  <si>
    <t>Целевые текущие трансферты из областного бюджета бюджетам районов (городов областного значения) на капитальный, текущий ремонт объектов образования в рамках реализации стратегии региональной занятости и переподготовки кадров</t>
  </si>
  <si>
    <t>Аудандардың (облыстық маңызы бар қалалардың) мектепке дейінгі білім беру ұйымдарында мемлекеттік білім беру тапсырысын іске асыруға берілетін республикалық бюджеттен бөлінетін ағымдағы нысаналы трансферттер</t>
  </si>
  <si>
    <t>Өңірлік жұмыспен қамту және кадрларды қайта даярлау стратегиясының шеңберінде білім беру объектілерін күрделі, ағымдағы жөндеуге облыстық бюджеттен аудандардың (облыстық маңызы бар қалалардың) бюджеттеріне берілетін ағымдағы нысаналы трансферттер</t>
  </si>
  <si>
    <t>Облыстың, республикалық маңызы бар қаланың, астананың жергілікті атқарушы органы алатын қарыздар</t>
  </si>
  <si>
    <t>Аудандардың (облыстық маңызы бар қалалардың) бюджеттеріне өңірлік жұмыспен қамту және кадрларды қайта даярлау стратегиясын іске асыру шеңберінде аудандық маңызы бар автомобиль жолдарын, қалалар мен елді-мекендердің көшелерін жөндеуге және ұстауға  республикалық бюджеттен берілетін ағымдағы нысаналы трансферттер</t>
  </si>
  <si>
    <t>Целевые текущие трансферты из республиканского бюджета бюджетам районов (городов областного значения) на ремонт и содержание автомобильных дорог районного значения, улиц городов и населенных пунктов в рамках реализации cтратегии региональной занятости и переподготовки кадров</t>
  </si>
  <si>
    <t>Аудандардың (облыстық маңызы бар қалалардың) бюджеттеріне өңірлік жұмыспен қамту және кадрларды қайта даярлау стратегиясын іске асыру шеңберінде аудандық маңызы бар автомобиль жолдарын, қалалар мен елді-мекендердің көшелерін жөндеуге және ұстауға облыстық бюджеттен  берілетін ағымдағы нысаналы трансферттер</t>
  </si>
  <si>
    <t>Целевые текущие трансферты из областного бюджета бюджетам районов (городов областного значения) на ремонт и содержание автомобильных дорог районного значения, улиц городов и населенных пунктов в рамках реализации cтратегии региональной занятости и переподготовки кадров</t>
  </si>
  <si>
    <t>Целевые трансферты на развитие бюджетам  районов (городов областного значения) на развитие объектов водного хозяйства</t>
  </si>
  <si>
    <t>Су шаруашылығының объектілерін дамытуға аудандар (облыстық маңызы бар қалалар) бюджеттеріне берілетін нысаналы даму трансферттер</t>
  </si>
  <si>
    <t>«Мак» операциясын өткізу</t>
  </si>
  <si>
    <t xml:space="preserve">Білім беру объектілерін салуға және реконструкциялауға аудандар республикалық бюджеттен (облыстық маңызы бар қалалар) бюджеттеріне берілетін нысаналы даму трансферттер  </t>
  </si>
  <si>
    <t xml:space="preserve">Білім беру объектілерін салуға және реконструкциялауға аудандар облыстық бюджеттен (облыстық маңызы бар қалалар) бюджеттеріне берілетін нысаналы даму трансферттер </t>
  </si>
  <si>
    <t>Ана мен баланы қорғау жөніндегі қызметтер</t>
  </si>
  <si>
    <t>Туберкулезден, жұқпалы және психикалық аурулардан және жүйкесі бұзылуынан зардап шегетін адамдарға медициналық көмек көрсету</t>
  </si>
  <si>
    <t>Республикалық бюджет қаражатынан көрсетілетін медициналық көмекті қоспағанда, халыққа амбулаторлық-емханалық көмек көрсету</t>
  </si>
  <si>
    <t>Жедел медициналық  көмек көрсету және санитарлық авиация</t>
  </si>
  <si>
    <t>Денсаулық сақтау саласындағы ақпараттық талдамалық қызметі</t>
  </si>
  <si>
    <t>Жергілікті атқарушы органның  жоғары тұрған бюджет алдындағы борышын өтеу</t>
  </si>
  <si>
    <t>Погашение долга местного исполнительного органа перед вышестоящим бюджетом</t>
  </si>
  <si>
    <t xml:space="preserve">Асыл тұқымды мал шаруашылығын мемлекеттік қолдау  </t>
  </si>
  <si>
    <t>Субсидирование процентной ставки по кредитам в рамках программы «Дорожная карта бизнеса - 2020 »</t>
  </si>
  <si>
    <t>Частичное гарантирование кредитов малому и среднему бизнесу в рамках  программы «Дорожная карта бизнеса - 2020»</t>
  </si>
  <si>
    <t>Сервисная поддержка ведения бизнеса в рамках программы «Дорожная карта бизнеса - 2020»</t>
  </si>
  <si>
    <t>«Бизнестің жол картасы - 2020» бағдарламасы шеңберінде индустриялық инфрақұрылымды дамыту</t>
  </si>
  <si>
    <t>«Бизнестің жол картасы - 2020»  бағдарламасы шеңберінде кредиттер бойынша проценттік ставкаларды субсидиялау</t>
  </si>
  <si>
    <t>«Бизнестің жол картасы - 2020»  бағдарламасы шеңберінде шағын және орта бизнеске кредиттерді ішінара кепілдендіру</t>
  </si>
  <si>
    <t>«Бизнестің жол картасы - 2020»  бағдарламасы шеңберінде бизнес жүргізуді сервистік қолдау</t>
  </si>
  <si>
    <r>
      <t>Развитие индустриальной инфраструктуры в рамках программы «Дорожная карта бизнеса - 2020</t>
    </r>
    <r>
      <rPr>
        <sz val="14"/>
        <color indexed="8"/>
        <rFont val="Times New Roman"/>
        <family val="1"/>
      </rPr>
      <t>»</t>
    </r>
  </si>
  <si>
    <t>Развитие индустриальной инфраструктуры в рамках программы  «Дорожная карта бизнеса - 2020»</t>
  </si>
  <si>
    <t>Предупреждение и ликвидация чрезвычайных ситуаций областного масштаба</t>
  </si>
  <si>
    <t>временно уточнить</t>
  </si>
  <si>
    <t>Поступления от продажи основного капитала</t>
  </si>
  <si>
    <t>Продажа государственного имущества, закрепленного за государственными учреждениями</t>
  </si>
  <si>
    <t>Поступления от продажи имущества, закрепленного за государственными учреждениями, финансируемыми из республиканского бюджета</t>
  </si>
  <si>
    <t>Поступления от продажи имущества, закрепленного за государственными учреждениями, финансируемыми из местного бюджета</t>
  </si>
  <si>
    <t>Поступления от продажи гражданам квартир</t>
  </si>
  <si>
    <t>Негізгі капиталды сатудан түсетін түсімдер</t>
  </si>
  <si>
    <t>Мемлекеттік мекемелерге бекітілген мемлекеттік мүлікті сату</t>
  </si>
  <si>
    <t>Мемлекеттік мекемелерге бекітілген  мемлекеттік мүлікті сату</t>
  </si>
  <si>
    <t>Республикалық бюджеттен қаржыландырылатын мемлекеттік мекемелерге бекітілген мүлікті сатудан  түсетін түсімдер</t>
  </si>
  <si>
    <t>Жергілікті бюджеттен қаржыландырылатын мемлекеттік мекемелерге бекітілген мүлікті сатудан  түсетін түсімдер</t>
  </si>
  <si>
    <t>Азаматтарға пәтерлер сатудан түсетін түсімдер</t>
  </si>
  <si>
    <t>с.Анар</t>
  </si>
  <si>
    <t>Зеленое</t>
  </si>
  <si>
    <t>Целевые текущие трансферты из вышестоящего бюджета на компенсацию потерь нижестоящих бюджетов в связи с изменением законодательства</t>
  </si>
  <si>
    <t>Заңнаманың өзгеруіне байланысты жоғары тұрған бюджеттен төмен тұрған бюджеттерге өтемақыға берілетін ағымдағы нысаналы трансферттер</t>
  </si>
  <si>
    <t>Бюджет қаражатын банк шоттарына орналастырғаны үшін сыйақылар</t>
  </si>
  <si>
    <t>1 уточнение</t>
  </si>
  <si>
    <t>2 уточнение</t>
  </si>
  <si>
    <t>3 уточнение ДК бизнеса</t>
  </si>
  <si>
    <t>уточнение в июле</t>
  </si>
  <si>
    <t>корректировка РБ</t>
  </si>
  <si>
    <t xml:space="preserve">Облыс әкімнің қызметін қамтамасыз ету жөніндегі қызметтер  </t>
  </si>
  <si>
    <t xml:space="preserve">Жергілікті бюджеттерден берілетін ағымдағы нысаналы  трансферттер </t>
  </si>
  <si>
    <t>Республиқалық бюджет қаражаты көрсетілетін медициналық көмекті қоспағанда, бастапқы медициналық-санитарлық көмек және денсаулық сақтау ұйымдары мамандарын жіберу бойынша стационарлық медициналық көмек көрсету</t>
  </si>
  <si>
    <t>Жергiлiктi деңгейде мәдениет саласындағы мемлекеттік саясатты іске асыру жөніндегі қызметтер</t>
  </si>
  <si>
    <t xml:space="preserve">Категория </t>
  </si>
  <si>
    <t>Класс</t>
  </si>
  <si>
    <t xml:space="preserve">Подкласс
</t>
  </si>
  <si>
    <t xml:space="preserve">
Сумма</t>
  </si>
  <si>
    <t xml:space="preserve">
Функциональная группа</t>
  </si>
  <si>
    <t>Администратор бюджетных программ</t>
  </si>
  <si>
    <t>Программа</t>
  </si>
  <si>
    <r>
      <rPr>
        <b/>
        <sz val="14"/>
        <rFont val="Times New Roman"/>
        <family val="1"/>
      </rPr>
      <t>Приложение</t>
    </r>
    <r>
      <rPr>
        <sz val="14"/>
        <rFont val="Times New Roman"/>
        <family val="1"/>
      </rPr>
      <t xml:space="preserve">   
к решению  Акмолинского областного маслихата
    № 4С-27-2 от 5 октября 2010 года</t>
    </r>
  </si>
  <si>
    <r>
      <rPr>
        <b/>
        <sz val="14"/>
        <rFont val="Times New Roman"/>
        <family val="1"/>
      </rPr>
      <t>Приложение 1</t>
    </r>
    <r>
      <rPr>
        <sz val="14"/>
        <rFont val="Times New Roman"/>
        <family val="1"/>
      </rPr>
      <t xml:space="preserve">
к решению  Акмолинского областного маслихата          
№ 4С-19-2 от 10 декабря  2009 года</t>
    </r>
  </si>
  <si>
    <t>Поступления денег от проведения государственных закупок, организуемых государственными учреждениями, финансируемыми из государственного бюджета</t>
  </si>
  <si>
    <t>Жергілікті бюджеттен қаржыландырылатын мемлекеттік мекемелер ұйымдастыратын мемлекеттік сатып алуды өткізуден түсетін ақшаның түсімі</t>
  </si>
  <si>
    <t>Поступления денег от проведения государственных закупок, организуемых государственными учреждениями, финансируемыми из местного бюджета</t>
  </si>
  <si>
    <t>Жергілікті мемлекеттік органдар салатын әкімшілік айыппұлдар, өсімпұлдар, санкциялар</t>
  </si>
  <si>
    <t>Административные штрафы, пени, санкции, взыскания, налагаемые местными государственными органами</t>
  </si>
  <si>
    <t>12</t>
  </si>
  <si>
    <t>Түзету жұмыстарына сотталғандардың еңбекақысынан ұсталатын түсімдер</t>
  </si>
  <si>
    <t>Поступления удержаний из заработной платы осужденных к исправительным работам</t>
  </si>
  <si>
    <t>14</t>
  </si>
  <si>
    <t>Жергілікті бюджеттен қаржыландырылатын мемлекеттік мекемелермен алынатын басқа да айыппұлдар, өсімпұлдар, санкциялар</t>
  </si>
  <si>
    <t>Прочие штрафы, пени, санкции, взыскания, налагаемые государственными учреждениями, финансируемыми из местного бюджета</t>
  </si>
  <si>
    <t>Басқа да салықтық емес түсiмдер</t>
  </si>
  <si>
    <t xml:space="preserve">Прочие неналоговые поступления </t>
  </si>
  <si>
    <t>Жергілікті бюджеттен қаржыландырылатын мемлекеттік мекемелердің дебиторлық, депоненттік берешегінің түсімі</t>
  </si>
  <si>
    <t>Поступления дебиторской,депонентской задолженности государственных учреждений, финансируемых  из местного бюджета</t>
  </si>
  <si>
    <t>Бұрын жергілікті бюджеттен алынған, пайдаланылмаған қаражаттардың қайтарылуы</t>
  </si>
  <si>
    <t>Возврат неиспользованных средств, ранее полученных из местного бюджета</t>
  </si>
  <si>
    <t>9</t>
  </si>
  <si>
    <t>Другие неналоговые поступления в местный бюджет</t>
  </si>
  <si>
    <t>4</t>
  </si>
  <si>
    <t>Трансферттердің түсімдері</t>
  </si>
  <si>
    <t>Поступления трансфертов</t>
  </si>
  <si>
    <t>Төмен тұрған мемлекеттiк басқару органдарынан алынатын трансферттер</t>
  </si>
  <si>
    <t>Трансферты из нижестоящих органов государственного управления</t>
  </si>
  <si>
    <t>Аудандық (қалалық) бюджеттерден трансферттер</t>
  </si>
  <si>
    <t xml:space="preserve">Бюджеттiк кредиттерді өтеу </t>
  </si>
  <si>
    <t>Мемлекеттік бюджеттен берілген бюджеттік кредиттерді өтеу</t>
  </si>
  <si>
    <t>Трансферты из районных (городских) бюджетов</t>
  </si>
  <si>
    <t>Бюджеттік алып қоюлар</t>
  </si>
  <si>
    <t>Бюджетные изъятия</t>
  </si>
  <si>
    <t>Нысаналы пайдаланылмаған (толық пайдаланылмаған) трансферттерді қайтару</t>
  </si>
  <si>
    <t>Возврат целевых трансфертов</t>
  </si>
  <si>
    <t>Нысаналы мақсатқа сай пайдаланылмаған нысаналы трансферттерді қайтару</t>
  </si>
  <si>
    <t xml:space="preserve">Увеличить </t>
  </si>
  <si>
    <t>Уменьшить</t>
  </si>
  <si>
    <t>Увеличить</t>
  </si>
  <si>
    <t>Возврат, использованных не по целевому назначению целевых трансфертов</t>
  </si>
  <si>
    <t>Мемлекеттiк басқарудың жоғары тұрған органдарынан түсетiн трансферттер</t>
  </si>
  <si>
    <t>Трансферты из вышестоящих органов государственного управления</t>
  </si>
  <si>
    <t>Республикалық бюджеттен түсетiн трансферттер</t>
  </si>
  <si>
    <t>Трансферты из республиканского бюджета</t>
  </si>
  <si>
    <t>Ағымдағы нысаналы трансферттер</t>
  </si>
  <si>
    <t>Целевые текущие трансферты</t>
  </si>
  <si>
    <t>Нысаналы даму трансферттері</t>
  </si>
  <si>
    <t>Целевые трансферты на развитие</t>
  </si>
  <si>
    <t>Субвенциялар</t>
  </si>
  <si>
    <t>III. Чистое бюджетное кредитование</t>
  </si>
  <si>
    <t>II. Затраты</t>
  </si>
  <si>
    <t>Бюджетные кредиты</t>
  </si>
  <si>
    <t>Кредитование бюджетов районов (городов областного значения) на строительство и (или) приобретение жилья</t>
  </si>
  <si>
    <t>Кредитование АО «Фонд развития предпринимательства «Даму» на реализацию государственной инвестиционной политики</t>
  </si>
  <si>
    <t>Погашение бюджетных кредитов</t>
  </si>
  <si>
    <t>Погашение бюджетных кредитов, выданных из государственного бюджета</t>
  </si>
  <si>
    <t>IV. Сальдо по операциям с финансовыми активами </t>
  </si>
  <si>
    <t>Приобретение финансовых активов</t>
  </si>
  <si>
    <t>Поступления от продажи финансовых активов государства</t>
  </si>
  <si>
    <t>Поступления от продажи финансовых активов внутри страны</t>
  </si>
  <si>
    <t>V. Дефицит (профицит) бюджета </t>
  </si>
  <si>
    <t>VI. Финансирование дефицита                                         (использование профицита) бюджета</t>
  </si>
  <si>
    <t>Поступления займов</t>
  </si>
  <si>
    <t>Договоры займа</t>
  </si>
  <si>
    <t>Займы, получаемые местным исполнительным органом области, города республиканского значения, столицы</t>
  </si>
  <si>
    <t>Поступления трансфертов из районных (городских) бюджетов на компенсацию потерь областного бюджета</t>
  </si>
  <si>
    <t>Целевые текущие трансферты в вышестоящие бюджеты в связи с передачей функций государственных органов из нижестоящего уровня государственного управления в вышестоящий</t>
  </si>
  <si>
    <t>Атаулар</t>
  </si>
  <si>
    <t>тыс.тенге</t>
  </si>
  <si>
    <t>Капитальный, текущий ремонт объектов здравоохранения в рамках реализации стратегии региональной занятости и переподготовки кадров</t>
  </si>
  <si>
    <t>Капитальный, текущий ремонт объектов спорта в рамках реализации стратегии региональной занятости и переподготовки кадров</t>
  </si>
  <si>
    <t>Поддержка семеноводства</t>
  </si>
  <si>
    <t xml:space="preserve">Штрафы, пени, санкции, взыскания, налагаемые государственными учреждениями, финансируемыми из государственного бюджета, а также содержащимися и финансируемыми из бюджета (сметы расходов) Национального Банка Республики Казахстан, за исключением поступлений от организаций нефтяного сектора </t>
  </si>
  <si>
    <t>Штрафы, пени, санкции, взыскания, налагаемые государственными учреждениями, финансируемыми из государственного бюджета, а также содержащимися и финансируемыми из бюджета (сметы расходов) Национального Банка Республики Казахстан</t>
  </si>
  <si>
    <t xml:space="preserve"> Целевые текущие трансферты бюджетам районов (городов областного значения) на выплату государственной адресной социальной помощи и ежемесячного государственного пособия на детей до 18 лет в связи с ростом размера
прожиточного минимума</t>
  </si>
  <si>
    <t>Ремонт и содержание автомобильных дорог областного значения, улиц городов и населенных пунктов в рамках реализации cтратегии региональной занятости и переподготовки кадров</t>
  </si>
  <si>
    <t>Вознаграждения за размещение бюджетных средств на банковских счетах</t>
  </si>
  <si>
    <t>Тауарларға, жұмыстарға және қызметтерге салынатын iшкi салықтар</t>
  </si>
  <si>
    <t>Табиғи және басқа да ресурстарды пайдаланғаны үшiн түсетiн түсiмдер</t>
  </si>
  <si>
    <t>Мемлекеттік меншіктен түсетін кірістер</t>
  </si>
  <si>
    <t>Мемлекеттік бюджеттен қаржыландырылатын, сондай-ақ Қазақстан Республикасы Ұлттық Банкінің бюджетінен (шығыстар сметасынан) ұсталатын және қаржыландырылатын мемлекеттік мекемелер салатын айыппұлдар, өсімпұлдар, санкциялар, өндіріп алулар</t>
  </si>
  <si>
    <t>Мұнай секторы ұйымдарынан түсетін түсімдерді қоспағанда, мемлекеттік бюджеттен қаржыландырылатын, сондай-ақ Қазақстан Республикасы Ұлттық Банкінің бюджетінен (шығыстар сметасынан) ұсталатын және қаржыландырылатын мемлекеттік мекемелер салатын айыппұлдар, өсімпұлдар, санкциялар, өндіріп алулар</t>
  </si>
  <si>
    <t>Услуги по обеспечению деятельности маслихата области</t>
  </si>
  <si>
    <t>Материально-техническое оснащение государственных органов</t>
  </si>
  <si>
    <t>Услуги по обеспечению деятельности акима области</t>
  </si>
  <si>
    <t>Услуги по реализации государственной политики в области исполнения местного бюджета и управления коммунальной собственностью</t>
  </si>
  <si>
    <t>Услуги по реализации государственной политики в области формирования и развития экономической политики, системы государственного планирования и управления области</t>
  </si>
  <si>
    <t>Услуги по реализации государственной политики на местном уровне в области мобилизационной подготовки, гражданской обороны, организации предупреждения и ликвидации аварий и стихийных бедствий</t>
  </si>
  <si>
    <t>Услуги по реализации государственной политики в области обеспечения охраны общественного порядка и безопасности на территории области</t>
  </si>
  <si>
    <t>Организация работы медвытрезвителей и подразделений полиции, организующих работу медвытрезвителей</t>
  </si>
  <si>
    <t>Организация  временной изоляции, адаптации и реабилитации несовершеннолетних</t>
  </si>
  <si>
    <t>Услуги по размещению лиц, не имеющих определенного места  жительства и документов</t>
  </si>
  <si>
    <t>Организация  содержания лиц, арестованных в административном порядке</t>
  </si>
  <si>
    <t>Организация содержания служебных животных</t>
  </si>
  <si>
    <t>Дополнительное образование для детей и юношества по спорту</t>
  </si>
  <si>
    <t>Услуги по реализации государственной политики на местном уровне в области образования</t>
  </si>
  <si>
    <t>Капитальный, текущий ремонт объектов образования в рамках реализации стратегии региональной занятости и переподготовки кадров</t>
  </si>
  <si>
    <t>Целевые текущие трансферты из местных бюджетов</t>
  </si>
  <si>
    <t xml:space="preserve">Погашение кредиторской задолженности по обязательствам организаций здравоохранения за счет средств местного бюджета </t>
  </si>
  <si>
    <t xml:space="preserve">Жергілікті бюджет қаражаты есебінен денсаулық сақтау ұйымдарының міндеттемелері бойынша кредиттік қарызды  өтеу </t>
  </si>
  <si>
    <t>Целевые трансферты на развитие из местных бюджетов</t>
  </si>
  <si>
    <t>Услуги по реализации государственной политики на местном уровне в области здравоохранения</t>
  </si>
  <si>
    <t>Оказание стационарной медицинской помощи по направлению специалистов первичной медико-санитарной помощи и организаций здравоохранения, за исключением медицинской помощи, оказываемой из средств республиканского бюджета</t>
  </si>
  <si>
    <t>Услуги по охране материнства и детства</t>
  </si>
  <si>
    <t>Оказание медицинской помощи лицам, страдающим туберкулезом, инфекционными, психическими заболеваниями и расстройствами</t>
  </si>
  <si>
    <t>Оказание амбулаторно-поликлинической помощи населению за исключением медицинской помощи, оказываемой из средств республиканского бюджета</t>
  </si>
  <si>
    <t>Оказание скорой медицинской  помощи и санитарная авиация</t>
  </si>
  <si>
    <t>Информационно-аналитические услуги в области здравоохранения</t>
  </si>
  <si>
    <t>Социальная поддержка медицинских и фармацевтических работников, направленных для работы в сельскую местность</t>
  </si>
  <si>
    <t>Областные базы спецмедснабжения</t>
  </si>
  <si>
    <t>Услуги по реализации государственной политики на местном уровне в области обеспечения занятости и реализации социальных программ для населения</t>
  </si>
  <si>
    <t>Предоставление специальных социальных услуг для престарелых и инвалидов в медико-социальных учреждениях (организациях) общего типа</t>
  </si>
  <si>
    <t>Предоставление специальных социальных услуг для инвалидов с психоневрологическими заболеваниями, в психоневрологических медико-социальных учреждениях (организациях)</t>
  </si>
  <si>
    <t>Услуги по реализации государственной политики на местном уровне в области энергетики и коммунального хозяйства</t>
  </si>
  <si>
    <t>Услуги по реализации государственной политики на местном уровне по управлению архивным делом</t>
  </si>
  <si>
    <t>Услуги по реализации государственной политики на местном уровне  в сфере туризма, физической культуры и спорта</t>
  </si>
  <si>
    <t>Услуги по реализации государственной политики на местном уровне в области культуры</t>
  </si>
  <si>
    <t>Услуги по реализации государственной, внутренней политики на местном уровне</t>
  </si>
  <si>
    <t>Услуги по реализации государственной политики на местном уровне в области развития языков</t>
  </si>
  <si>
    <t>Услуги по реализации государственной политики в области регулирования земельных отношений на территории области</t>
  </si>
  <si>
    <t>Услуги по реализации государственной политики в сфере охраны окружающей  среды на местном уровне</t>
  </si>
  <si>
    <t>Мероприятия по охране окружающей среды</t>
  </si>
  <si>
    <t>Услуги по реализации государственной политики на местном уровне в сфере сельского хозяйства</t>
  </si>
  <si>
    <t>Государственная поддержка племенного животноводства</t>
  </si>
  <si>
    <t>Услуги по распространению и внедрению инновационного опыта</t>
  </si>
  <si>
    <t>Услуги по реализации государственной политики на местном уровне в сфере государственного архитектурно-строительного контроля</t>
  </si>
  <si>
    <t>Услуги по реализации государственной политики на местном уровне в области строительства</t>
  </si>
  <si>
    <t>Услуги по реализации государственной политики  в области архитектуры и градостроительства на местном уровне</t>
  </si>
  <si>
    <t>Услуги по реализации государственной политики на местном уровне в области транспорта и коммуникаций</t>
  </si>
  <si>
    <t>Развитие транспортной инфраструктуры</t>
  </si>
  <si>
    <t>Обеспечение функционирования  автомобильных дорог</t>
  </si>
  <si>
    <t>Разработка технико-экономического обоснования местных бюджетных инвестиционных проектов и концессионных проектов и проведение его экспертизы</t>
  </si>
  <si>
    <t>Услуги по реализации государственной политики на местном уровне в области развития предпринимательства и промышленности</t>
  </si>
  <si>
    <t>Целевые текущие трансферты в вышестоящие бюджеты в связи с изменением фонда оплаты труда в бюджетной сфере</t>
  </si>
  <si>
    <t>Атауы</t>
  </si>
  <si>
    <t>II.  Шығындар</t>
  </si>
  <si>
    <t xml:space="preserve">Жалпы сипаттағы мемлекеттiк қызметтер </t>
  </si>
  <si>
    <t>Облыс мәслихатының аппараты</t>
  </si>
  <si>
    <t xml:space="preserve">Облыс мәслихатының қызметін қамтамасыз ету жөніндегі қызметтер  </t>
  </si>
  <si>
    <t>Ақпараттық жүйелер құру</t>
  </si>
  <si>
    <t>Мемлекеттік органдарды материалдық-техникалық жарақтандыру</t>
  </si>
  <si>
    <t>Облыс әкімінің аппараты</t>
  </si>
  <si>
    <t>Мемлекеттік бюджеттен қаржыландырылатын  мемлекеттік мекемелер ұйымдастыратын мемлекеттік сатып алуды өткізуден түсетін ақша түсімдері</t>
  </si>
  <si>
    <t xml:space="preserve">Областной бюджет на 2010 год </t>
  </si>
  <si>
    <t>2010 жылға арналған облыстық бюджет</t>
  </si>
  <si>
    <t xml:space="preserve">Қаржы активтерiн сатып алу </t>
  </si>
  <si>
    <t xml:space="preserve">Заңды тұлғалардың жарғылық капиталын қалыптастыру немесе ұлғайту 
</t>
  </si>
  <si>
    <t>Услуги по проведению государственной информационной политики через газеты и журналы</t>
  </si>
  <si>
    <t>Услуги по проведению государственной информационной политики через телерадиовещание</t>
  </si>
  <si>
    <t>Облыстың қаржы басқармасы</t>
  </si>
  <si>
    <t>Жергілікті бюджетті атқару және коммуналдық меншікті басқару саласындағы мемлекеттік саясатты іске асыру жөніндегі қызметтер</t>
  </si>
  <si>
    <t>Коммуналдық меншікті жекешелендіруді ұйымдастыру</t>
  </si>
  <si>
    <t>Облыстың экономика және бюджеттік жоспарлау басқармасы</t>
  </si>
  <si>
    <t>Экономикалық саясатты, мемлекеттік жоспарлау жүйесін қалыптастыру мен дамыту және облысты бақару саласындағы мемлекеттік саясатты іске асыру жөніндегі қызметтер</t>
  </si>
  <si>
    <t>Қорғаныс</t>
  </si>
  <si>
    <t>Облыстың жұмылдыру дайындығы,  азаматтық қорғаныс, авариялар мен дүлей зілзаллардың алдын алуды және жоюды ұйымдастыру басқармасы</t>
  </si>
  <si>
    <t xml:space="preserve">Жергілікті деңгейде жұмылдыру дайындығы,  азаматтық қорғаныс, авариялар мен дүлей апаттардың алдын алуды және жоюды ұйымдастыру саласындағы мемлекеттік саясатты іске асыру жөніндегі қызметтер </t>
  </si>
  <si>
    <t>Жалпыға бірдей әскери міндетті атқару шеңберіндегі іс-шаралар</t>
  </si>
  <si>
    <t>Сома
Сумма</t>
  </si>
  <si>
    <t>Облыстық ауқымдағы жұмылдыру дайындығы және жұмылдыру</t>
  </si>
  <si>
    <t>Қоғамдық тәртіп, қауіпсіздік, құқықтық, сот, қылмыстық-атқару қызметі</t>
  </si>
  <si>
    <t>Облыстық бюджеттен қаржыландырылатын атқарушы ішкі істер органы</t>
  </si>
  <si>
    <t xml:space="preserve">Облыс аумағында қоғамдық тәртіптті және қауіпсіздікті сақтауды қамтамасыз ету  саласындағы мемлекеттік саясатты іске асыру жөніндегі қызметтер </t>
  </si>
  <si>
    <t>Медициналық айықтырғыштардың және медициналық айықтырғыштардың жұмысын ұйымдастыратын полиция бөлімшелерінің жұмысын ұйымдастыру</t>
  </si>
  <si>
    <t xml:space="preserve">Қоғамдық тәртіпті қорғауға қатысатын азаматтарды көтермелеу </t>
  </si>
  <si>
    <t>Кәмелетке толмағандарды уақытша оқшалау, бейімдеуді және оңалтуды ұйымдастыру</t>
  </si>
  <si>
    <t>Белгілі тұратын жері және құжаттары жоқ адамдарды орналастыру қызметтері</t>
  </si>
  <si>
    <t>Әкімшілік тәртіппен тұткындалған адамдардыға ұстауды ұйымдастыру</t>
  </si>
  <si>
    <t>Қызмет жануаларын ұстауды ұйымдастыру</t>
  </si>
  <si>
    <t>Бiлiм беру</t>
  </si>
  <si>
    <t>Кадрлардың біліктілігін арттыру және оларды қайта даярлау</t>
  </si>
  <si>
    <t>Облыстың денсаулық сақтау басқармасы</t>
  </si>
  <si>
    <t>Кадрларының біліктілігін арттыру және оларды қайта даярлау</t>
  </si>
  <si>
    <t>Техникалық және кәсіптік, орта білімнен кейінгі білім беру мекемелерінде мамандар даярлау</t>
  </si>
  <si>
    <t xml:space="preserve">Облыстың туризм, дене шынықтыру және спорт басқармасы </t>
  </si>
  <si>
    <t>Балалар мен жасөспірімдерге  спорт бойынша қосымша білім беру</t>
  </si>
  <si>
    <t>Облыстың білім басқармасы</t>
  </si>
  <si>
    <t>Жергілікті деңгейде білім беру саласындағы мемлекеттік саясатты іске асыру жөніндегі қызметтер</t>
  </si>
  <si>
    <t>Арнайы білім беретін оқу бағдарламалары бойынша жалпы білім беру</t>
  </si>
  <si>
    <t>Білім берудің мемлекеттік облыстық мекемелерінде білім беру жүйесін ақпараттандыру</t>
  </si>
  <si>
    <t>Білім берудің мемлекеттік облыстық мекемелер үшін оқулықтар мен оқу-әдiстемелiк кешендерді сатып алу және жеткізу</t>
  </si>
  <si>
    <t>Мамандандырылған білім беру ұйымдарында дарынды балаларға жалпы білім беру</t>
  </si>
  <si>
    <t>Облыстық ауқымда мектеп олимпиадаларын, мектептен тыс іс-шараларды және конкурстар өткізу</t>
  </si>
  <si>
    <t>Өңірлік жұмыспен қамту және кадрларды қайта даярлау стратегиясын іске асыру шеңберінде білім беру объектілерін күрделі, ағымды жөндеу</t>
  </si>
  <si>
    <t xml:space="preserve"> Балалар мен жеткіншектердің психикалық денсаулығын зерттеу және халыққа психологиялық-медициналық-педагогикалық консультациялық көмек көрсету</t>
  </si>
  <si>
    <t>Техникалық және кәсіптік білім беру ұйымдарында мамандар даярлау</t>
  </si>
  <si>
    <t xml:space="preserve">Жергілікті бюджеттерден берілетін ағымдағы нысаналы  трансфертер </t>
  </si>
  <si>
    <t>Жергілікті бюджеттерден берілетін нысаналы даму трансферттері</t>
  </si>
  <si>
    <t>Облыстың құрылыс басқармасы</t>
  </si>
  <si>
    <t>Білім беру объектілерін салу және реконструкциялау</t>
  </si>
  <si>
    <t>Денсаулық сақтау</t>
  </si>
  <si>
    <t>Целевые текущие трансферты бюджетам районов (городов областного значения)  на содержание подразделений местных исполнительных органов в области ветеринарии</t>
  </si>
  <si>
    <t xml:space="preserve">Аудандар (областық маңызы бар қалалар) бюджеттеріне ветеринария саласындағы жергілікті атқарушы органдардың бөлімшелерін ұстауға берілетін ағымдағы нысаналы трансферттер  </t>
  </si>
  <si>
    <t>Жергілікті денгейде денсаулық сақтау саласындағы  мемлекеттік саясатты іске жөніндегі қызметтер</t>
  </si>
  <si>
    <t>Өңірлік жұмыспен қамту және кадрларды қайта даярлау стратегиясын іске асыру шеңберінде денсаулық сақтау объектілерін күрделі, ағымды жөндеу</t>
  </si>
  <si>
    <t>Жергілікті денсаулық сақтау ұйымдары үшін қанды, оның құрамдарын және дәрілерді өндіру</t>
  </si>
  <si>
    <t>Салауатты өмір салтын насихаттау</t>
  </si>
  <si>
    <t>Патологоанатомиялық союды жүргізу</t>
  </si>
  <si>
    <t>Халықтың жекелген санаттарын амбулаториялық деңгейде дәрілік заттармен және мамандандырылған балалар және емдік тамақ өнімдерімен қамтамасыз ету</t>
  </si>
  <si>
    <t>Азаматтарды елді мекеннің шегінен тыс емделуге тегін және жеңілдетілген жол жүрумен қамтамасыз ету</t>
  </si>
  <si>
    <t>Шолғыншы эпидемиологиялық қадағалау жүргізу үшін тест-жүйелерін сатып алу</t>
  </si>
  <si>
    <t>Диабет ауруларын диабетке қарсы препараттарымен қамтамасыз ету</t>
  </si>
  <si>
    <t>Бүйрек жетімсіз ауруларды дәрі-дәрмек құралдарымен, диализаторлармен, шығыс материалдарымен және бүйрегі алмастырылған ауруларды дәрі-дәрмек құралдарымен қамтамасыз ету</t>
  </si>
  <si>
    <t>Ауылдық жерге жұмыс iстеуге жiберiлген медицина және фармацевтика қызметкерлерiн әлеуметтiк қолдау</t>
  </si>
  <si>
    <t>Халыққа иммунды алдын алу жүргізу үшін вакциналарды және басқа иммундық-биологиялық препараттарды орталықтандырылған сатып алу</t>
  </si>
  <si>
    <t>Жаңадан iске қосылатын денсаулық сақтау объектiлерiн ұстау</t>
  </si>
  <si>
    <t>Мемлекеттік денсаулық сақтау ұйымдарын материалдық-техникалық жарақтандыру</t>
  </si>
  <si>
    <t>Облыстық арнайы медициналық жабдықтау базалары</t>
  </si>
  <si>
    <t>Деңсаулық сақтау объектілерін салу және реконструкциялау</t>
  </si>
  <si>
    <t>Тұрғын үй-коммуналдық шаруашылық</t>
  </si>
  <si>
    <t>Облыстың Энергетика және коммуналдық шаруашылық басқармасы</t>
  </si>
  <si>
    <t>Жергілікті деңгейде энергетика және коммуналдық шаруашылық саласындағы мемлекеттік саясатты іске асыру жөніндегі қызметтер</t>
  </si>
  <si>
    <t>Подготовка и переподготовка кадров</t>
  </si>
  <si>
    <t>Кадрларды даярлау және қайта даярлау</t>
  </si>
  <si>
    <t xml:space="preserve">Жергілікті бюджеттерден берілетін ағымдағы нысалы трансферттер </t>
  </si>
  <si>
    <t>Мәдениет, спорт, туризм және ақпараттық кеңістiк</t>
  </si>
  <si>
    <t>Облыстың мұрағаттар және құжаттама басқармасы</t>
  </si>
  <si>
    <t>Жергілікті деңгейде мұрағат ісін басқару жөніндегі мемлекеттік саясатты іске асыру жөніндегі қызметтер</t>
  </si>
  <si>
    <t>Мұрағат қорының сақталуын қамтамасыз ету</t>
  </si>
  <si>
    <t>Өңірлік жұмыспен қамту және кадрларды қайта даярлау стратегиясын іске асыру шеңберінде спорт объектілерін күрделі, ағымды жөндеу</t>
  </si>
  <si>
    <t>Жергілікті деңгейде туризм, дене шынықтыру және спорт саласындағы мемлекеттік саясатты іске асыру жөніндегі қызметтер</t>
  </si>
  <si>
    <t>Облыстық деңгейінде спорт жарыстарын өткізу</t>
  </si>
  <si>
    <t>Әртүрлi спорт түрлерi бойынша облыстық құрама командаларының мүшелерiн дайындау және олардың республикалық және халықаралық спорт жарыстарына қатысуы</t>
  </si>
  <si>
    <t>Туристік қызметті реттеу</t>
  </si>
  <si>
    <t>Облыстың мәдениет басқармасы</t>
  </si>
  <si>
    <t>Мәдени-демалыс жұмысын қолдау</t>
  </si>
  <si>
    <t>Тарихи-мәдени мұралардың сақталуын және оған қол жетімді болуын қамтамасыз ету</t>
  </si>
  <si>
    <t>Театр және музыка өнерін қолдау</t>
  </si>
  <si>
    <t>Облыстық кітапханалардың жұмыс істеуін қамтамасыз ету</t>
  </si>
  <si>
    <t>Облыстың ішкі саясат басқармасы</t>
  </si>
  <si>
    <t>Жергілікті деңгейде мемлекеттік, ішкі саясатты іске асыру жөніндегі қызметтер</t>
  </si>
  <si>
    <t>Жастар саясаты саласында өңірлік бағдарламаларды іске асыру</t>
  </si>
  <si>
    <t>Облыстың тілдерді дамыту басқармасы</t>
  </si>
  <si>
    <t xml:space="preserve">Жергілікті деңгейде тілдерді дамыту саласындағы мемлекеттік саясатты іске асыру жөніндегі қызметтер  </t>
  </si>
  <si>
    <t>Мемлекеттiк тiлдi және Қазақстан халықтарының басқа да тiлдерін дамыту</t>
  </si>
  <si>
    <t>Мәдениет объектілерін дамыту</t>
  </si>
  <si>
    <t>Ауыл, су, орман, балық шаруашылығы, ерекше қорғалатын табиғи аумақтар, қоршаған ортаны және жануарлар дүниесін қорғау, жер қатынастары</t>
  </si>
  <si>
    <t>Облыстың жер қатынастары басқармасы</t>
  </si>
  <si>
    <t xml:space="preserve">Облыс аумағында жер қатынастарын реттеу саласындағы мемлекеттік саясатты іске асыру жөніндегі қызметтер </t>
  </si>
  <si>
    <t>Облыстың табиғи ресурстар және табиғат пайдалануды реттеу басқармасы</t>
  </si>
  <si>
    <t>Жергілікті деңгейде қоршаған ортаны қорғау саласындағы мемлекеттік саясатты іске асыру жөніндегі қызметтер</t>
  </si>
  <si>
    <t>Ормандарды сақтау, қорғау, молайту және орман өсiру</t>
  </si>
  <si>
    <t xml:space="preserve">Қоршаған ортаны қорғау бойынша іс-шаралар </t>
  </si>
  <si>
    <t>Облыстың ауыл шаруашылығы басқармасы</t>
  </si>
  <si>
    <t>Жергілікте деңгейде ауыл шаруашылығы  саласындағы мемлекеттік саясатты іске асыру жөніндегі қызметтер</t>
  </si>
  <si>
    <t>Тұқым шаруашылығын қолдау</t>
  </si>
  <si>
    <t>Ауыл шаруашылығының ақпараттық-маркетингтік жүйесін дамыту</t>
  </si>
  <si>
    <t>Ауыз сумен жабдықтаудың баламасыз көздерi болып табылатын сумен жабдықтаудың аса маңызды топтық жүйелерiнен ауыз су беру жөніндегі қызметтердің құнын субсидиялау</t>
  </si>
  <si>
    <t>Пестицидтерді (улы химикаттарды) залалсыздандыру</t>
  </si>
  <si>
    <t>Инновациялық тәжірибені тарату және енгізу жөніндегі іс-шараларды өткізу</t>
  </si>
  <si>
    <t>Өнеркәсіп, сәулет, қала құрылысы және құрылыс қызметі</t>
  </si>
  <si>
    <t>Облыстың мемлекеттік сәулет-құрылыс бақылауы басқармасы</t>
  </si>
  <si>
    <t>Жергілікті деңгейде мемлекеттік сәулет-құрылыс бақылау саласындағы мемлекеттік саясатты іске асыру жөніндегі қызметтер</t>
  </si>
  <si>
    <t>Жергілікті деңгейде құрлыс саласындағы мемлекеттік саясатты іске асыру жөніндегі қызметтер</t>
  </si>
  <si>
    <t>Облыстың сәулет және қала құрылысы басқармасы</t>
  </si>
  <si>
    <t>Бюджетные кредиты местным исполнительным органам для реализации мер социальной поддержки специалистов социальной сферы сельских населенных пунктов</t>
  </si>
  <si>
    <t>Ауылдық елді мекендердің әлеуметтік саласының мамандарын әлеуметтік қолдау шараларын іске асыру үшін жергілікті атқарушы органдарға берілетін бюджеттік кредиттер</t>
  </si>
  <si>
    <t>Сумен жабдықтау жүйесін дамытуға аудандар (облыстық маңызы бар қалалар) бюджеттеріне берілетін нысаналы даму трансферттер</t>
  </si>
  <si>
    <t>Целевые трансферты на развитие бюджетам  районов (городов областного значения) на развитие системы водоснабжения</t>
  </si>
  <si>
    <t>Топливно-энергетический комплекс и недропользование</t>
  </si>
  <si>
    <t>Отын-энергетика кешенi және жер қойнауын пайдалану</t>
  </si>
  <si>
    <t>Целевые трансферты на развитие бюджетам  районов (городов областного значения) на развитие теплоэнергетической системы</t>
  </si>
  <si>
    <t>Жылу-энергетикалық жүйені дамытуға аудандар (облыстық маңызы бар қалалар) бюджеттеріне нысаналы даму трансферттері</t>
  </si>
  <si>
    <t xml:space="preserve">Государственная поддержка повышения урожайности и качества производимых сельскохозяйственных культур  </t>
  </si>
  <si>
    <t xml:space="preserve">Өндірілетін ауыл шаруашылығы дақылдарының өнімділігі мен сапасын арттыруды қолдау </t>
  </si>
  <si>
    <t>Субсидирование повышения продуктивности и качества продукции животноводства</t>
  </si>
  <si>
    <t>Мал шаруашылығы өнімдерінің өнімділігін және сапасын арттыруды субсидиялау</t>
  </si>
  <si>
    <t xml:space="preserve">Удешевление стоимости горюче-смазочных материалов и других товарно-материальных ценностей, необходимых для проведения весенне-полевых и уборочных работ </t>
  </si>
  <si>
    <t>Көктемгі егіс және егін жинау жұмыстарын жүргізу үшін қажетті жанар-жағар май және басқа да тауар-материалдық құндылықтарының құнын арзандату</t>
  </si>
  <si>
    <t>Целевые текущие трансферты бюджетам районов (городов областного значения) на проведение противоэпизоотических мероприятий</t>
  </si>
  <si>
    <t>Аудандар (областық маңызы бар қалалар) бюджеттеріне эпизоотияға қарсы іс-шаралар жүргізуге берілетін ағымдағы нысаналы трансферттер</t>
  </si>
  <si>
    <t>Целевые текущие трансферты бюджетам районов (городов областного значения) на капитальный и средний ремонт автомобильных дорог районного значения (улиц города)</t>
  </si>
  <si>
    <t>Аудандық (облыстық маңызы бар қалалар) бюджеттеріне аудандық маңызы бар автомобиль жолдарын (қала көшелерін) күрделі және орташа жөндеуден өткізуге берілетін ағымдағы нысаналы трансферттер</t>
  </si>
  <si>
    <t>Организация деятельности центров обслуживания населения по предоставлению государственных услуг физическим и юридическим лицам по принципу «одного окна»</t>
  </si>
  <si>
    <t>Жеке және заңды тұлғаларға "жалғыз терезе" қағидаты бойынша мемлекеттік қызметтер көрсететін халыққа қызмет орталықтарының қызметін қамтамасыз ету</t>
  </si>
  <si>
    <t>Жергілікті деңгейде сәулет және қала құрылысы саласындағы мемлекеттік саясатты іске асыру жөніндегі қызметтер</t>
  </si>
  <si>
    <t>Көлiк және коммуникация</t>
  </si>
  <si>
    <t>Облыстың жолаушылар көлігі және автомобиль жолдары басқармасы</t>
  </si>
  <si>
    <t>Материально-техническое оснащение медицинских организаций здравоохранения</t>
  </si>
  <si>
    <t>Жергілікті деңгейде көлік және коммуникация саласындағы мемлекеттік саясатты іске асыру жөніндегі қызметтер</t>
  </si>
  <si>
    <t>Көлік инфрақұрылымын дамыту</t>
  </si>
  <si>
    <t>Автомобиль жолдарының жұмыс істеуін қамтамасыз ету</t>
  </si>
  <si>
    <t>Өңірлік жұмыспен қамту және кадрларды қайта даярлау стратегиясын іске асыру шеңберінде аудандық маңызы бар автомобиль жолдарын, қала және елді-мекендер көшелерін жөндеу және ұстау</t>
  </si>
  <si>
    <t>Басқалар</t>
  </si>
  <si>
    <t>Облыстық жергілікті атқарушы органының резервi</t>
  </si>
  <si>
    <t>Жергілікті бюджеттік инвестициялық жобалардың және концессиялық жобалардың техникалық-экономикалық негіздемелерін әзірлеу және оған сараптама жүргізу</t>
  </si>
  <si>
    <t>Облыстың кәсіпкерлік және өнеркәсіп басқармасы</t>
  </si>
  <si>
    <t>Жергілікті деңгейде кәсіпкерлікті және өнеркәсіпті дамыту саласындағы мемлекеттік саясатты іске асыру жөніндегі қызметтер</t>
  </si>
  <si>
    <t>Трансферттер</t>
  </si>
  <si>
    <t>Штрафы, пени, санкции, взыскания по бюджетным кредитам (займам), выданным из областного бюджета местным исполнительным органам районов (городов областного значения)</t>
  </si>
  <si>
    <t>Мемлекеттік органдардың функцияларын мемлекеттік басқарудың төмен тұрған  деңгейлерінен жоғарғы деңгейлерге беруге байланысты жоғары тұрған бюджеттерге берілетін ағымдағы нысаналы трансферттер</t>
  </si>
  <si>
    <t>Бюджет саласындағы еңбекақы төлеу қорының өзгеруіне байланысты жоғары тұрған бюджеттерге берлетін ағымдағы нысаналы трансферттер</t>
  </si>
  <si>
    <t xml:space="preserve">III. Таза бюджеттiк несие беру </t>
  </si>
  <si>
    <t xml:space="preserve">Бюджеттiк несиелер </t>
  </si>
  <si>
    <t>Мемлекеттік инвестициялық саясатты іске асыру үшін «Даму» кәсіпкерлікті дамыту қоры» АҚ несиелеу</t>
  </si>
  <si>
    <t xml:space="preserve">IV.Қаржы активтерiмен жасалатын операциялар бойынша сальдо </t>
  </si>
  <si>
    <t>Мемлекеттің қаржы активтерін сатудан түсетін түсімдер</t>
  </si>
  <si>
    <t>Қаржы активтерін ел  ішінде  сатудан түсетін түсімдер</t>
  </si>
  <si>
    <t xml:space="preserve">V. Бюджет тапшылығы (профицит) </t>
  </si>
  <si>
    <t>VI. Бюджет тапшылығын қаржыландыру (профицитті пайдалану)</t>
  </si>
  <si>
    <t>Қарыздар түсімі</t>
  </si>
  <si>
    <t>Қарыздарды өтеу</t>
  </si>
  <si>
    <t>Жергілікті атқарушы органның борышын өтеу</t>
  </si>
  <si>
    <t>Предоставление специальных социальных услуг для детей-инвалидов с психоневрологическими паталогиями в детских психоневрологических медико-социальных учреждениях (организациях)</t>
  </si>
  <si>
    <t>Әлеуметтiк көмек және әлеуметтiк қамсыздандыру</t>
  </si>
  <si>
    <t>Обеспечение тромболитическими препаратами больных с острым инфарктом миокарда</t>
  </si>
  <si>
    <t xml:space="preserve">Жіті миокард инфаркт сырқаттарын тромболитикалық препараттармен қамтамасыз ету </t>
  </si>
  <si>
    <t>Обеспечение факторами свертывания крови при лечении взрослых, больных гемофилией</t>
  </si>
  <si>
    <t>Гемофилиямен ауыратын ересек адамдарды емдеу кезінде қанның ұюы факторлармен қамтамасыз ету</t>
  </si>
  <si>
    <t>Обеспечение онкологических больных химиопрепаратами</t>
  </si>
  <si>
    <t>Онкологиялық ауруларды химия препараттарымен қамтамасыз ету</t>
  </si>
  <si>
    <t xml:space="preserve">Обеспечение больных туберкулезом противотуберкулезными препаратами </t>
  </si>
  <si>
    <t>Туберкулез ауруларын туберкулез ауруларына қарсы препараттарымен қамтамасыз ету</t>
  </si>
  <si>
    <t>Облыстың жұмыспен қамтуды үйлестіру және әлеуметтік бағдарламалар басқармасы</t>
  </si>
  <si>
    <t>Жергілікті деңгейде облыстың жұмыспен қамтуды қамтамасыз ету және үшін әлеуметтік бағдарламаларды іске асыру саласындағы мемлекеттік саясатты іске асыру жөніндегі қызметтер</t>
  </si>
  <si>
    <t>Общеобразовательное обучение одаренных в спорте детей в специализированных организациях образования</t>
  </si>
  <si>
    <t>Мамандандырылған бiлiм беру ұйымдарында спорттағы дарынды балаларға жалпы бiлiм беру</t>
  </si>
  <si>
    <t>Жалпы үлгідегі медициналық-әлеуметтік мекемелерде (ұйымдарда) қарттар мен мүгедектерге арнаулы әлеуметтік қызметтер көрсету</t>
  </si>
  <si>
    <t>Мүгедектерге әлеуметтік қолдау көрсету</t>
  </si>
  <si>
    <t>Психоневрологиялық медициналық-әлеуметтік мекемелерде (ұйымдарда) психоневрологиялық аурулар-мен ауыратын мүгедектер үшін арнаулы әлеуметтік қызметтер көрсету</t>
  </si>
  <si>
    <t>Жетiм балаларды, ата-анасының қамқорлығынсыз қалған балаларды әлеуметтік қамсыздандыру</t>
  </si>
  <si>
    <t>Әлеуметтік қамтамасыз ету объектілерін салу және реконструкциялау</t>
  </si>
  <si>
    <t>Государственные услуги общего характера</t>
  </si>
  <si>
    <t>Аппарат маслихата области</t>
  </si>
  <si>
    <t>Создание информационных систем</t>
  </si>
  <si>
    <t>Аппарат акима области</t>
  </si>
  <si>
    <t>Управление финансов области</t>
  </si>
  <si>
    <t>Организация приватизации коммунальной собственности</t>
  </si>
  <si>
    <t>Управление экономики и бюджетного планирования области</t>
  </si>
  <si>
    <t>Оборона</t>
  </si>
  <si>
    <t>РБ</t>
  </si>
  <si>
    <t>Целевые текущие трансферты бюджетам  районов (городов областного значения) на содержание вновь вводимых объектов образования</t>
  </si>
  <si>
    <t>Жаңадан іске қосылатын білім беру объектілерін ұстауға аудандар (облыстық маңызы бар қалалар) бюджеттеріне берілетін ағымдағы нысаналы трансферттер</t>
  </si>
  <si>
    <t>Целевые текущие трансферты бюджетам районов (городов областного значения) на оснащение учебным оборудованием кабинетов физики, химии, биологии в государственных учреждениях  основного среднего и общего среднего образования</t>
  </si>
  <si>
    <t>Целевые текущие трансферты бюджетам районов (городов областного значения) на создание лингафонных и мультимедийных кабинетов в государственных учреждениях начального, основного среднего и общего среднего образования</t>
  </si>
  <si>
    <t>Аудандардың (облыстық маңызы бар қалалардың) бюджеттеріне негізгі орта және жалпы орта білім беретін мемлекеттік мекемелердегі физика, химия, биология кабинеттерін оқу жабдығымен жарақтандыруға берілетін ағымдағы нысаналы трансферттер</t>
  </si>
  <si>
    <t>Капитальный, текущий ремонт объектов социального обеспечения в рамках реализации стратегии региональной занятости и переподготовки кадров</t>
  </si>
  <si>
    <t>Өңірлік жұмыспен қамту және кадрларды қайта даярлау стратегиясын іске асыру шеңберінде әлеуметтiк қамсыздандыру объектілерін күрделі, ағымды жөндеу</t>
  </si>
  <si>
    <t>Аудандардың (облыстық маңызы бар қалалардың) бюджеттеріне бастауыш, негізгі орта және жалпы орта білім беретін мемлекеттік мекемелерде лингафондық және мультимедиалық кабинеттер құруға берілетін ағымдағы нысаналы трансферттер</t>
  </si>
  <si>
    <t>Қарыз алу келісім-шарттары</t>
  </si>
  <si>
    <t>Аудандардың (облыстық маңызы бар қалалардың) бюджеттеріне тұрғын үй салуға және (немесе) сатып алуға кредит беру</t>
  </si>
  <si>
    <t>Управление по мобилизационной подготовке, гражданской обороне, организации предупреждения и ликвидации аварий и стихийных бедствий области</t>
  </si>
  <si>
    <t>Мероприятия в рамках исполнения всеобщей воинской обязанности</t>
  </si>
  <si>
    <t>Мобилизационная подготовка и мобилизация областного масштаба</t>
  </si>
  <si>
    <t>Общественный порядок, безопасность, правовая, судебная, уголовно-исполнительная деятельность</t>
  </si>
  <si>
    <t>Исполнительный орган внутренних дел, финансируемый из областного бюджета</t>
  </si>
  <si>
    <t>Поощрение граждан, участвующих в охране общественного порядка</t>
  </si>
  <si>
    <t>Управление строительства области</t>
  </si>
  <si>
    <t>Развитие объектов органов внутренних дел</t>
  </si>
  <si>
    <t>Образование</t>
  </si>
  <si>
    <t>Повышение квалификации и переподготовка кадров</t>
  </si>
  <si>
    <t>Управление здравоохранения области</t>
  </si>
  <si>
    <t>Подготовка специалистов в организациях технического и профессионального, послесреднего образования</t>
  </si>
  <si>
    <t>Управление туризма, физической культуры и спорта области</t>
  </si>
  <si>
    <t>Управление образования области</t>
  </si>
  <si>
    <t>Общеобразовательное обучение по специальным образовательным учебным программам</t>
  </si>
  <si>
    <t>Информатизация системы образования в областных государственных учреждениях образования</t>
  </si>
  <si>
    <t>Приобретение и доставка учебников, учебно-методических комплексов для областных государственных учреждений образования</t>
  </si>
  <si>
    <t>Общеобразовательное обучение одаренных детей в специализированных организациях образования</t>
  </si>
  <si>
    <t>Проведение школьных олимпиад, внешкольных мероприятий и конкурсов областного масштаба</t>
  </si>
  <si>
    <t>Обследование психического здоровья детей и подростков и оказание психолого-медико-педагогической консультативной помощи населению</t>
  </si>
  <si>
    <t>Подготовка специалистов в организациях технического и профессионального образования</t>
  </si>
  <si>
    <t>Строительство и реконструкция объектов образования</t>
  </si>
  <si>
    <t>Здравоохранение</t>
  </si>
  <si>
    <t>Производство крови, ее компонентов и препаратов для местных организаций здравоохранения</t>
  </si>
  <si>
    <t>Пропаганда здорового образа жизни</t>
  </si>
  <si>
    <t>Проведение патологоанатомического вскрытия</t>
  </si>
  <si>
    <t>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t>
  </si>
  <si>
    <t>Обеспечение граждан бесплатным или льготным проездом за пределы населенного пункта на лечение</t>
  </si>
  <si>
    <t>Приобретение тест-систем для проведения дозорного эпидемиологического надзора</t>
  </si>
  <si>
    <t>Обеспечение больных диабетом противодиабетическими препаратами</t>
  </si>
  <si>
    <t>Обеспечение больных с почечной недостаточностью лекарственными средствами, диализаторами, расходными материалами и больных после трансплантации почек лекарственными средствами</t>
  </si>
  <si>
    <t>Централизованный закуп вакцин и других медицинских иммунобиологических препаратов для проведения иммунопрофилактики населения</t>
  </si>
  <si>
    <t>Содержание вновь вводимых объектов здравоохранения</t>
  </si>
  <si>
    <t>Строительство и реконструкция объектов здравоохранения</t>
  </si>
  <si>
    <t>Социальная помощь и социальное обеспечение</t>
  </si>
  <si>
    <t>Управление координации занятости и социальных программ области</t>
  </si>
  <si>
    <t>Социальная поддержка инвалидов</t>
  </si>
  <si>
    <t>Социальное обеспечение сирот, детей, оставшихся без попечения родителей</t>
  </si>
  <si>
    <t>Строительство и реконструкция объектов социального обеспечения</t>
  </si>
  <si>
    <t>Жилищно-коммунальное хозяйство</t>
  </si>
  <si>
    <t>Управление энергетики и коммунального хозяйства области</t>
  </si>
  <si>
    <t>Культура, спорт, туризм и информационное пространство</t>
  </si>
  <si>
    <t>Управление архивов и документации области</t>
  </si>
  <si>
    <t>Обеспечение сохранности архивного фонда</t>
  </si>
  <si>
    <t>Проведение спортивных соревнований на областном уровне</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</si>
</sst>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
    <numFmt numFmtId="165" formatCode="#,##0.0"/>
    <numFmt numFmtId="166" formatCode="00"/>
    <numFmt numFmtId="167" formatCode="000"/>
    <numFmt numFmtId="168" formatCode="_(* #,##0_);_(* \(#,##0\);_(* &quot;-&quot;_);_(@_)"/>
    <numFmt numFmtId="169" formatCode="_(* #,##0.00_);_(* \(#,##0.00\);_(* &quot;-&quot;??_);_(@_)"/>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
  </numFmts>
  <fonts count="47">
    <font>
      <sz val="11"/>
      <color indexed="8"/>
      <name val="Calibri"/>
      <family val="2"/>
    </font>
    <font>
      <sz val="12"/>
      <name val="KZ Times New Roman"/>
      <family val="1"/>
    </font>
    <font>
      <b/>
      <sz val="12"/>
      <name val="KZ Times New Roman"/>
      <family val="1"/>
    </font>
    <font>
      <sz val="10"/>
      <name val="KZ Times New Roman"/>
      <family val="1"/>
    </font>
    <font>
      <sz val="12"/>
      <color indexed="9"/>
      <name val="KZ Times New Roman"/>
      <family val="1"/>
    </font>
    <font>
      <sz val="10"/>
      <name val="Arial Cyr"/>
      <family val="0"/>
    </font>
    <font>
      <sz val="10"/>
      <color indexed="8"/>
      <name val="MS Sans Serif"/>
      <family val="2"/>
    </font>
    <font>
      <sz val="10"/>
      <name val="Helv"/>
      <family val="0"/>
    </font>
    <font>
      <sz val="10"/>
      <name val="Arial"/>
      <family val="2"/>
    </font>
    <font>
      <sz val="8"/>
      <name val="Calibri"/>
      <family val="2"/>
    </font>
    <font>
      <sz val="8"/>
      <name val="Tahoma"/>
      <family val="2"/>
    </font>
    <font>
      <b/>
      <sz val="8"/>
      <name val="Tahoma"/>
      <family val="2"/>
    </font>
    <font>
      <sz val="12"/>
      <name val="Times New Roman"/>
      <family val="1"/>
    </font>
    <font>
      <sz val="14"/>
      <name val="Times New Roman"/>
      <family val="1"/>
    </font>
    <font>
      <b/>
      <sz val="16"/>
      <color indexed="8"/>
      <name val="Times New Roman"/>
      <family val="1"/>
    </font>
    <font>
      <sz val="10"/>
      <color indexed="8"/>
      <name val="Times New Roman"/>
      <family val="1"/>
    </font>
    <font>
      <i/>
      <sz val="11"/>
      <name val="Times New Roman"/>
      <family val="1"/>
    </font>
    <font>
      <sz val="12"/>
      <color indexed="10"/>
      <name val="Times New Roman"/>
      <family val="1"/>
    </font>
    <font>
      <b/>
      <sz val="12"/>
      <name val="Times New Roman"/>
      <family val="1"/>
    </font>
    <font>
      <b/>
      <sz val="14"/>
      <name val="Times New Roman"/>
      <family val="1"/>
    </font>
    <font>
      <sz val="14"/>
      <color indexed="8"/>
      <name val="Times New Roman"/>
      <family val="1"/>
    </font>
    <font>
      <b/>
      <sz val="14"/>
      <color indexed="8"/>
      <name val="Times New Roman"/>
      <family val="1"/>
    </font>
    <font>
      <b/>
      <sz val="11"/>
      <color indexed="8"/>
      <name val="Times New Roman"/>
      <family val="1"/>
    </font>
    <font>
      <b/>
      <sz val="12"/>
      <color indexed="8"/>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b/>
      <sz val="14"/>
      <color indexed="10"/>
      <name val="Times New Roman"/>
      <family val="1"/>
    </font>
    <font>
      <b/>
      <sz val="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
      <patternFill patternType="solid">
        <fgColor indexed="60"/>
        <bgColor indexed="64"/>
      </patternFill>
    </fill>
  </fills>
  <borders count="16">
    <border>
      <left/>
      <right/>
      <top/>
      <bottom/>
      <diagonal/>
    </border>
    <border>
      <left style="thin"/>
      <right/>
      <top/>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 fillId="0" borderId="1">
      <alignment horizontal="right" vertical="top" wrapText="1"/>
      <protection/>
    </xf>
    <xf numFmtId="0" fontId="1" fillId="0" borderId="1">
      <alignment horizontal="left" vertical="top" wrapText="1"/>
      <protection/>
    </xf>
    <xf numFmtId="1" fontId="1" fillId="0" borderId="0">
      <alignment horizontal="center" vertical="top" wrapText="1"/>
      <protection/>
    </xf>
    <xf numFmtId="166" fontId="1" fillId="0" borderId="1">
      <alignment horizontal="center" vertical="top" wrapText="1"/>
      <protection/>
    </xf>
    <xf numFmtId="1" fontId="1" fillId="0" borderId="1">
      <alignment horizontal="center" vertical="top" wrapText="1"/>
      <protection/>
    </xf>
    <xf numFmtId="166" fontId="1" fillId="0" borderId="1">
      <alignment horizontal="center" vertical="top" wrapText="1"/>
      <protection/>
    </xf>
    <xf numFmtId="0" fontId="2" fillId="16" borderId="1">
      <alignment horizontal="left" vertical="top" wrapText="1"/>
      <protection/>
    </xf>
    <xf numFmtId="0" fontId="1" fillId="0" borderId="1">
      <alignment horizontal="left" vertical="top" wrapText="1"/>
      <protection/>
    </xf>
    <xf numFmtId="0" fontId="1" fillId="0" borderId="1">
      <alignment horizontal="left" vertical="top" wrapText="1"/>
      <protection/>
    </xf>
    <xf numFmtId="0" fontId="1" fillId="0" borderId="1">
      <alignment horizontal="left" vertical="top" wrapText="1"/>
      <protection/>
    </xf>
    <xf numFmtId="0" fontId="3" fillId="0" borderId="1">
      <alignment horizontal="left" vertical="top" wrapText="1"/>
      <protection/>
    </xf>
    <xf numFmtId="1" fontId="4" fillId="0" borderId="0">
      <alignment horizontal="center" vertical="top" wrapText="1"/>
      <protection/>
    </xf>
    <xf numFmtId="166" fontId="4" fillId="0" borderId="1">
      <alignment horizontal="center" vertical="top" wrapText="1"/>
      <protection/>
    </xf>
    <xf numFmtId="1" fontId="4" fillId="0" borderId="1">
      <alignment horizontal="center" vertical="top" wrapText="1"/>
      <protection/>
    </xf>
    <xf numFmtId="166" fontId="4" fillId="0" borderId="1">
      <alignment horizontal="center" vertical="top" wrapText="1"/>
      <protection/>
    </xf>
    <xf numFmtId="167" fontId="4" fillId="0" borderId="1">
      <alignment horizontal="center" vertical="top" wrapText="1"/>
      <protection/>
    </xf>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0" borderId="0" applyNumberFormat="0" applyBorder="0" applyAlignment="0" applyProtection="0"/>
    <xf numFmtId="0" fontId="27" fillId="7" borderId="2" applyNumberFormat="0" applyAlignment="0" applyProtection="0"/>
    <xf numFmtId="0" fontId="28" fillId="16" borderId="3" applyNumberFormat="0" applyAlignment="0" applyProtection="0"/>
    <xf numFmtId="0" fontId="29" fillId="16" borderId="2"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0" borderId="7" applyNumberFormat="0" applyFill="0" applyAlignment="0" applyProtection="0"/>
    <xf numFmtId="0" fontId="35" fillId="21" borderId="8"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6" fillId="0" borderId="0">
      <alignment/>
      <protection/>
    </xf>
    <xf numFmtId="0" fontId="5" fillId="0" borderId="0">
      <alignment/>
      <protection/>
    </xf>
    <xf numFmtId="0" fontId="38" fillId="0" borderId="0" applyNumberFormat="0" applyFill="0" applyBorder="0" applyAlignment="0" applyProtection="0"/>
    <xf numFmtId="0" fontId="39" fillId="3" borderId="0" applyNumberFormat="0" applyBorder="0" applyAlignment="0" applyProtection="0"/>
    <xf numFmtId="0" fontId="4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7" fillId="0" borderId="0">
      <alignment/>
      <protection/>
    </xf>
    <xf numFmtId="0" fontId="42" fillId="0" borderId="0" applyNumberForma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cellStyleXfs>
  <cellXfs count="184">
    <xf numFmtId="0" fontId="0" fillId="0" borderId="0" xfId="0" applyAlignment="1">
      <alignment/>
    </xf>
    <xf numFmtId="49" fontId="12" fillId="0" borderId="0" xfId="70" applyNumberFormat="1" applyFont="1" applyAlignment="1">
      <alignment vertical="center"/>
      <protection/>
    </xf>
    <xf numFmtId="0" fontId="12" fillId="0" borderId="0" xfId="70" applyFont="1" applyAlignment="1">
      <alignment vertical="center"/>
      <protection/>
    </xf>
    <xf numFmtId="49" fontId="12" fillId="0" borderId="0" xfId="70" applyNumberFormat="1" applyFont="1" applyAlignment="1">
      <alignment vertical="center" wrapText="1"/>
      <protection/>
    </xf>
    <xf numFmtId="0" fontId="15" fillId="0" borderId="0" xfId="69" applyFont="1" applyAlignment="1">
      <alignment vertical="center" wrapText="1"/>
      <protection/>
    </xf>
    <xf numFmtId="49" fontId="12" fillId="0" borderId="0" xfId="70" applyNumberFormat="1" applyFont="1" applyBorder="1" applyAlignment="1">
      <alignment vertical="center" wrapText="1"/>
      <protection/>
    </xf>
    <xf numFmtId="49" fontId="16" fillId="0" borderId="0" xfId="70" applyNumberFormat="1" applyFont="1" applyAlignment="1">
      <alignment horizontal="right" vertical="center" wrapText="1"/>
      <protection/>
    </xf>
    <xf numFmtId="0" fontId="17" fillId="0" borderId="0" xfId="70" applyFont="1" applyAlignment="1">
      <alignment vertical="center"/>
      <protection/>
    </xf>
    <xf numFmtId="49" fontId="18" fillId="0" borderId="11" xfId="70" applyNumberFormat="1" applyFont="1" applyBorder="1" applyAlignment="1">
      <alignment horizontal="center" vertical="center" wrapText="1"/>
      <protection/>
    </xf>
    <xf numFmtId="49" fontId="19" fillId="24" borderId="11" xfId="70" applyNumberFormat="1" applyFont="1" applyFill="1" applyBorder="1" applyAlignment="1">
      <alignment horizontal="right" vertical="center"/>
      <protection/>
    </xf>
    <xf numFmtId="49" fontId="19" fillId="24" borderId="11" xfId="70" applyNumberFormat="1" applyFont="1" applyFill="1" applyBorder="1" applyAlignment="1">
      <alignment vertical="center"/>
      <protection/>
    </xf>
    <xf numFmtId="0" fontId="19" fillId="24" borderId="11" xfId="70" applyFont="1" applyFill="1" applyBorder="1" applyAlignment="1">
      <alignment vertical="center" wrapText="1"/>
      <protection/>
    </xf>
    <xf numFmtId="0" fontId="18" fillId="0" borderId="0" xfId="70" applyFont="1" applyAlignment="1">
      <alignment vertical="center"/>
      <protection/>
    </xf>
    <xf numFmtId="49" fontId="13" fillId="4" borderId="11" xfId="70" applyNumberFormat="1" applyFont="1" applyFill="1" applyBorder="1" applyAlignment="1">
      <alignment horizontal="right" vertical="center"/>
      <protection/>
    </xf>
    <xf numFmtId="49" fontId="13" fillId="4" borderId="11" xfId="70" applyNumberFormat="1" applyFont="1" applyFill="1" applyBorder="1" applyAlignment="1">
      <alignment vertical="center"/>
      <protection/>
    </xf>
    <xf numFmtId="0" fontId="13" fillId="4" borderId="11" xfId="70" applyFont="1" applyFill="1" applyBorder="1" applyAlignment="1">
      <alignment vertical="center" wrapText="1"/>
      <protection/>
    </xf>
    <xf numFmtId="49" fontId="13" fillId="22" borderId="11" xfId="70" applyNumberFormat="1" applyFont="1" applyFill="1" applyBorder="1" applyAlignment="1">
      <alignment horizontal="right" vertical="center"/>
      <protection/>
    </xf>
    <xf numFmtId="49" fontId="13" fillId="22" borderId="11" xfId="70" applyNumberFormat="1" applyFont="1" applyFill="1" applyBorder="1" applyAlignment="1">
      <alignment vertical="center"/>
      <protection/>
    </xf>
    <xf numFmtId="0" fontId="13" fillId="22" borderId="11" xfId="70" applyFont="1" applyFill="1" applyBorder="1" applyAlignment="1">
      <alignment vertical="center" wrapText="1"/>
      <protection/>
    </xf>
    <xf numFmtId="49" fontId="13" fillId="0" borderId="11" xfId="70" applyNumberFormat="1" applyFont="1" applyBorder="1" applyAlignment="1">
      <alignment horizontal="right" vertical="center"/>
      <protection/>
    </xf>
    <xf numFmtId="49" fontId="13" fillId="0" borderId="11" xfId="70" applyNumberFormat="1" applyFont="1" applyBorder="1" applyAlignment="1">
      <alignment vertical="center"/>
      <protection/>
    </xf>
    <xf numFmtId="0" fontId="13" fillId="0" borderId="11" xfId="70" applyFont="1" applyBorder="1" applyAlignment="1">
      <alignment vertical="center" wrapText="1"/>
      <protection/>
    </xf>
    <xf numFmtId="49" fontId="13" fillId="0" borderId="11" xfId="70" applyNumberFormat="1" applyFont="1" applyBorder="1" applyAlignment="1">
      <alignment vertical="center" wrapText="1"/>
      <protection/>
    </xf>
    <xf numFmtId="49" fontId="13" fillId="4" borderId="11" xfId="70" applyNumberFormat="1" applyFont="1" applyFill="1" applyBorder="1" applyAlignment="1">
      <alignment vertical="center" wrapText="1"/>
      <protection/>
    </xf>
    <xf numFmtId="49" fontId="13" fillId="22" borderId="11" xfId="70" applyNumberFormat="1" applyFont="1" applyFill="1" applyBorder="1" applyAlignment="1">
      <alignment vertical="center" wrapText="1"/>
      <protection/>
    </xf>
    <xf numFmtId="0" fontId="12" fillId="0" borderId="0" xfId="70" applyFont="1" applyFill="1" applyAlignment="1">
      <alignment vertical="center" wrapText="1"/>
      <protection/>
    </xf>
    <xf numFmtId="49" fontId="13" fillId="0" borderId="11" xfId="70" applyNumberFormat="1" applyFont="1" applyFill="1" applyBorder="1" applyAlignment="1">
      <alignment horizontal="right" vertical="center" wrapText="1"/>
      <protection/>
    </xf>
    <xf numFmtId="49" fontId="13" fillId="0" borderId="11" xfId="70" applyNumberFormat="1" applyFont="1" applyFill="1" applyBorder="1" applyAlignment="1">
      <alignment vertical="center" wrapText="1"/>
      <protection/>
    </xf>
    <xf numFmtId="0" fontId="13" fillId="0" borderId="11" xfId="70" applyFont="1" applyFill="1" applyBorder="1" applyAlignment="1">
      <alignment vertical="center" wrapText="1"/>
      <protection/>
    </xf>
    <xf numFmtId="49" fontId="13" fillId="0" borderId="11" xfId="70" applyNumberFormat="1" applyFont="1" applyFill="1" applyBorder="1" applyAlignment="1">
      <alignment horizontal="right" vertical="center"/>
      <protection/>
    </xf>
    <xf numFmtId="49" fontId="13" fillId="0" borderId="11" xfId="70" applyNumberFormat="1" applyFont="1" applyBorder="1" applyAlignment="1">
      <alignment horizontal="left" vertical="center"/>
      <protection/>
    </xf>
    <xf numFmtId="0" fontId="20" fillId="0" borderId="0" xfId="0" applyFont="1" applyAlignment="1">
      <alignment/>
    </xf>
    <xf numFmtId="3" fontId="21" fillId="7" borderId="11" xfId="0" applyNumberFormat="1"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25" borderId="11" xfId="0" applyFont="1" applyFill="1" applyBorder="1" applyAlignment="1">
      <alignment vertical="center"/>
    </xf>
    <xf numFmtId="164" fontId="21" fillId="25" borderId="11" xfId="0" applyNumberFormat="1" applyFont="1" applyFill="1" applyBorder="1" applyAlignment="1">
      <alignment vertical="center"/>
    </xf>
    <xf numFmtId="164" fontId="21" fillId="25" borderId="11" xfId="0" applyNumberFormat="1" applyFont="1" applyFill="1" applyBorder="1" applyAlignment="1">
      <alignment vertical="top" wrapText="1"/>
    </xf>
    <xf numFmtId="0" fontId="21" fillId="25" borderId="11" xfId="0" applyFont="1" applyFill="1" applyBorder="1" applyAlignment="1">
      <alignment vertical="center" wrapText="1"/>
    </xf>
    <xf numFmtId="0" fontId="20" fillId="0" borderId="0" xfId="0" applyFont="1" applyAlignment="1">
      <alignment vertical="center"/>
    </xf>
    <xf numFmtId="0" fontId="21" fillId="22" borderId="11" xfId="0" applyFont="1" applyFill="1" applyBorder="1" applyAlignment="1">
      <alignment vertical="center"/>
    </xf>
    <xf numFmtId="164" fontId="21" fillId="22" borderId="11" xfId="0" applyNumberFormat="1" applyFont="1" applyFill="1" applyBorder="1" applyAlignment="1">
      <alignment vertical="center"/>
    </xf>
    <xf numFmtId="164" fontId="21" fillId="22" borderId="11" xfId="0" applyNumberFormat="1" applyFont="1" applyFill="1" applyBorder="1" applyAlignment="1">
      <alignment vertical="top" wrapText="1"/>
    </xf>
    <xf numFmtId="0" fontId="21" fillId="22" borderId="11" xfId="0" applyFont="1" applyFill="1" applyBorder="1" applyAlignment="1">
      <alignment vertical="center" wrapText="1"/>
    </xf>
    <xf numFmtId="3" fontId="21" fillId="22" borderId="11" xfId="0" applyNumberFormat="1" applyFont="1" applyFill="1" applyBorder="1" applyAlignment="1">
      <alignment horizontal="right" vertical="center"/>
    </xf>
    <xf numFmtId="0" fontId="20" fillId="0" borderId="11" xfId="0" applyFont="1" applyBorder="1" applyAlignment="1">
      <alignment vertical="center"/>
    </xf>
    <xf numFmtId="164" fontId="20" fillId="0" borderId="11" xfId="0" applyNumberFormat="1" applyFont="1" applyBorder="1" applyAlignment="1">
      <alignment vertical="center"/>
    </xf>
    <xf numFmtId="164" fontId="20" fillId="0" borderId="11" xfId="0" applyNumberFormat="1" applyFont="1" applyBorder="1" applyAlignment="1">
      <alignment vertical="top" wrapText="1"/>
    </xf>
    <xf numFmtId="0" fontId="20" fillId="0" borderId="11" xfId="0" applyFont="1" applyBorder="1" applyAlignment="1">
      <alignment vertical="center" wrapText="1"/>
    </xf>
    <xf numFmtId="0" fontId="20" fillId="0" borderId="0" xfId="0" applyFont="1" applyAlignment="1">
      <alignment vertical="top" wrapText="1"/>
    </xf>
    <xf numFmtId="0" fontId="20" fillId="0" borderId="11" xfId="0" applyFont="1" applyBorder="1" applyAlignment="1">
      <alignment vertical="top" wrapText="1"/>
    </xf>
    <xf numFmtId="0" fontId="21" fillId="0" borderId="11" xfId="0" applyFont="1" applyBorder="1" applyAlignment="1">
      <alignment vertical="center"/>
    </xf>
    <xf numFmtId="164" fontId="21" fillId="0" borderId="11" xfId="0" applyNumberFormat="1" applyFont="1" applyBorder="1" applyAlignment="1">
      <alignment vertical="center"/>
    </xf>
    <xf numFmtId="0" fontId="21" fillId="0" borderId="11" xfId="0" applyFont="1" applyBorder="1" applyAlignment="1">
      <alignment vertical="center" wrapText="1"/>
    </xf>
    <xf numFmtId="0" fontId="20" fillId="0" borderId="0" xfId="0" applyFont="1" applyFill="1" applyAlignment="1">
      <alignment vertical="center"/>
    </xf>
    <xf numFmtId="0" fontId="20" fillId="0" borderId="11" xfId="0" applyFont="1" applyFill="1" applyBorder="1" applyAlignment="1">
      <alignment vertical="top" wrapText="1"/>
    </xf>
    <xf numFmtId="164" fontId="20" fillId="0" borderId="11" xfId="0" applyNumberFormat="1" applyFont="1" applyFill="1" applyBorder="1" applyAlignment="1">
      <alignment vertical="top" wrapText="1"/>
    </xf>
    <xf numFmtId="0" fontId="20" fillId="22" borderId="11" xfId="0" applyFont="1" applyFill="1" applyBorder="1" applyAlignment="1">
      <alignment vertical="center"/>
    </xf>
    <xf numFmtId="0" fontId="20" fillId="3" borderId="11" xfId="0" applyFont="1" applyFill="1" applyBorder="1" applyAlignment="1">
      <alignment vertical="center"/>
    </xf>
    <xf numFmtId="164" fontId="20" fillId="3" borderId="11" xfId="0" applyNumberFormat="1" applyFont="1" applyFill="1" applyBorder="1" applyAlignment="1">
      <alignment vertical="center"/>
    </xf>
    <xf numFmtId="0" fontId="20" fillId="8" borderId="11" xfId="0" applyFont="1" applyFill="1" applyBorder="1" applyAlignment="1">
      <alignment vertical="center"/>
    </xf>
    <xf numFmtId="164" fontId="20" fillId="8" borderId="11" xfId="0" applyNumberFormat="1" applyFont="1" applyFill="1" applyBorder="1" applyAlignment="1">
      <alignment vertical="center"/>
    </xf>
    <xf numFmtId="164" fontId="21" fillId="8" borderId="11" xfId="0" applyNumberFormat="1" applyFont="1" applyFill="1" applyBorder="1" applyAlignment="1">
      <alignment vertical="center"/>
    </xf>
    <xf numFmtId="0" fontId="21" fillId="8" borderId="11" xfId="0" applyFont="1" applyFill="1" applyBorder="1" applyAlignment="1">
      <alignment vertical="center" wrapText="1"/>
    </xf>
    <xf numFmtId="164" fontId="20" fillId="22" borderId="11" xfId="0" applyNumberFormat="1" applyFont="1" applyFill="1" applyBorder="1" applyAlignment="1">
      <alignment vertical="center"/>
    </xf>
    <xf numFmtId="0" fontId="20" fillId="0" borderId="11" xfId="0" applyFont="1" applyFill="1" applyBorder="1" applyAlignment="1">
      <alignment vertical="center"/>
    </xf>
    <xf numFmtId="164" fontId="20" fillId="0" borderId="11" xfId="0" applyNumberFormat="1" applyFont="1" applyFill="1" applyBorder="1" applyAlignment="1">
      <alignment vertical="center"/>
    </xf>
    <xf numFmtId="0" fontId="21" fillId="0" borderId="11" xfId="0" applyFont="1" applyFill="1" applyBorder="1" applyAlignment="1">
      <alignment vertical="center" wrapText="1"/>
    </xf>
    <xf numFmtId="0" fontId="20" fillId="0" borderId="11" xfId="0" applyFont="1" applyFill="1" applyBorder="1" applyAlignment="1">
      <alignment vertical="center" wrapText="1"/>
    </xf>
    <xf numFmtId="0" fontId="21" fillId="8" borderId="11" xfId="0" applyFont="1" applyFill="1" applyBorder="1" applyAlignment="1">
      <alignment vertical="center"/>
    </xf>
    <xf numFmtId="164" fontId="20" fillId="0" borderId="11" xfId="0" applyNumberFormat="1" applyFont="1" applyFill="1" applyBorder="1" applyAlignment="1">
      <alignment vertical="center" wrapText="1"/>
    </xf>
    <xf numFmtId="0" fontId="20" fillId="0" borderId="0" xfId="0" applyFont="1" applyAlignment="1">
      <alignment vertical="center" wrapText="1"/>
    </xf>
    <xf numFmtId="0" fontId="20" fillId="0" borderId="0" xfId="0" applyFont="1" applyAlignment="1">
      <alignment vertical="top"/>
    </xf>
    <xf numFmtId="3" fontId="12" fillId="0" borderId="0" xfId="70" applyNumberFormat="1" applyFont="1" applyAlignment="1">
      <alignment vertical="center"/>
      <protection/>
    </xf>
    <xf numFmtId="0" fontId="21" fillId="3" borderId="11" xfId="0" applyFont="1" applyFill="1" applyBorder="1" applyAlignment="1">
      <alignment vertical="center" wrapText="1"/>
    </xf>
    <xf numFmtId="164" fontId="21" fillId="3" borderId="11" xfId="0" applyNumberFormat="1" applyFont="1" applyFill="1" applyBorder="1" applyAlignment="1">
      <alignment vertical="center"/>
    </xf>
    <xf numFmtId="165" fontId="13" fillId="0" borderId="11" xfId="70" applyNumberFormat="1" applyFont="1" applyBorder="1" applyAlignment="1">
      <alignment vertical="center"/>
      <protection/>
    </xf>
    <xf numFmtId="165" fontId="19" fillId="24" borderId="11" xfId="70" applyNumberFormat="1" applyFont="1" applyFill="1" applyBorder="1" applyAlignment="1">
      <alignment vertical="center"/>
      <protection/>
    </xf>
    <xf numFmtId="165" fontId="13" fillId="4" borderId="11" xfId="70" applyNumberFormat="1" applyFont="1" applyFill="1" applyBorder="1" applyAlignment="1">
      <alignment vertical="center"/>
      <protection/>
    </xf>
    <xf numFmtId="165" fontId="13" fillId="22" borderId="11" xfId="70" applyNumberFormat="1" applyFont="1" applyFill="1" applyBorder="1" applyAlignment="1">
      <alignment vertical="center"/>
      <protection/>
    </xf>
    <xf numFmtId="165" fontId="13" fillId="0" borderId="11" xfId="70" applyNumberFormat="1" applyFont="1" applyFill="1" applyBorder="1" applyAlignment="1">
      <alignment vertical="center" wrapText="1"/>
      <protection/>
    </xf>
    <xf numFmtId="165" fontId="13" fillId="0" borderId="11" xfId="70" applyNumberFormat="1" applyFont="1" applyFill="1" applyBorder="1" applyAlignment="1">
      <alignment vertical="center"/>
      <protection/>
    </xf>
    <xf numFmtId="165" fontId="21" fillId="3" borderId="11" xfId="0" applyNumberFormat="1" applyFont="1" applyFill="1" applyBorder="1" applyAlignment="1">
      <alignment horizontal="right" vertical="center" wrapText="1"/>
    </xf>
    <xf numFmtId="165" fontId="21" fillId="25" borderId="11" xfId="0" applyNumberFormat="1" applyFont="1" applyFill="1" applyBorder="1" applyAlignment="1">
      <alignment horizontal="right" vertical="center"/>
    </xf>
    <xf numFmtId="165" fontId="21" fillId="22" borderId="11" xfId="0" applyNumberFormat="1" applyFont="1" applyFill="1" applyBorder="1" applyAlignment="1">
      <alignment horizontal="right" vertical="center"/>
    </xf>
    <xf numFmtId="165" fontId="20" fillId="0" borderId="11" xfId="0" applyNumberFormat="1" applyFont="1" applyFill="1" applyBorder="1" applyAlignment="1">
      <alignment horizontal="right" vertical="center"/>
    </xf>
    <xf numFmtId="165" fontId="20" fillId="0" borderId="11" xfId="0" applyNumberFormat="1" applyFont="1" applyBorder="1" applyAlignment="1">
      <alignment horizontal="right" vertical="center"/>
    </xf>
    <xf numFmtId="165" fontId="21" fillId="0" borderId="11" xfId="0" applyNumberFormat="1" applyFont="1" applyBorder="1" applyAlignment="1">
      <alignment horizontal="right" vertical="center"/>
    </xf>
    <xf numFmtId="165" fontId="20" fillId="26" borderId="11" xfId="0" applyNumberFormat="1" applyFont="1" applyFill="1" applyBorder="1" applyAlignment="1">
      <alignment horizontal="right" vertical="center"/>
    </xf>
    <xf numFmtId="165" fontId="20" fillId="27" borderId="11" xfId="0" applyNumberFormat="1" applyFont="1" applyFill="1" applyBorder="1" applyAlignment="1">
      <alignment horizontal="right" vertical="center"/>
    </xf>
    <xf numFmtId="165" fontId="21" fillId="3" borderId="11" xfId="0" applyNumberFormat="1" applyFont="1" applyFill="1" applyBorder="1" applyAlignment="1">
      <alignment vertical="center" wrapText="1"/>
    </xf>
    <xf numFmtId="165" fontId="21" fillId="8" borderId="11" xfId="0" applyNumberFormat="1" applyFont="1" applyFill="1" applyBorder="1" applyAlignment="1">
      <alignment vertical="center" wrapText="1"/>
    </xf>
    <xf numFmtId="165" fontId="21" fillId="22" borderId="11" xfId="0" applyNumberFormat="1" applyFont="1" applyFill="1" applyBorder="1" applyAlignment="1">
      <alignment vertical="center" wrapText="1"/>
    </xf>
    <xf numFmtId="165" fontId="20" fillId="0" borderId="11" xfId="0" applyNumberFormat="1" applyFont="1" applyFill="1" applyBorder="1" applyAlignment="1">
      <alignment vertical="center" wrapText="1"/>
    </xf>
    <xf numFmtId="165" fontId="21" fillId="8" borderId="11" xfId="0" applyNumberFormat="1" applyFont="1" applyFill="1" applyBorder="1" applyAlignment="1">
      <alignment horizontal="right" vertical="center"/>
    </xf>
    <xf numFmtId="165" fontId="20" fillId="22" borderId="11" xfId="0" applyNumberFormat="1" applyFont="1" applyFill="1" applyBorder="1" applyAlignment="1">
      <alignment horizontal="right" vertical="center"/>
    </xf>
    <xf numFmtId="165" fontId="20" fillId="0" borderId="0" xfId="0" applyNumberFormat="1" applyFont="1" applyAlignment="1">
      <alignment vertical="center"/>
    </xf>
    <xf numFmtId="164" fontId="20" fillId="0" borderId="11" xfId="0" applyNumberFormat="1" applyFont="1" applyFill="1" applyBorder="1" applyAlignment="1">
      <alignment vertical="top"/>
    </xf>
    <xf numFmtId="165" fontId="13" fillId="28" borderId="11" xfId="70" applyNumberFormat="1" applyFont="1" applyFill="1" applyBorder="1" applyAlignment="1">
      <alignment vertical="center"/>
      <protection/>
    </xf>
    <xf numFmtId="165" fontId="12" fillId="0" borderId="11" xfId="70" applyNumberFormat="1" applyFont="1" applyBorder="1" applyAlignment="1">
      <alignment vertical="center"/>
      <protection/>
    </xf>
    <xf numFmtId="0" fontId="21" fillId="25" borderId="12" xfId="0" applyFont="1" applyFill="1" applyBorder="1" applyAlignment="1">
      <alignment vertical="center"/>
    </xf>
    <xf numFmtId="164" fontId="21" fillId="25" borderId="12" xfId="0" applyNumberFormat="1" applyFont="1" applyFill="1" applyBorder="1" applyAlignment="1">
      <alignment vertical="center"/>
    </xf>
    <xf numFmtId="164" fontId="21" fillId="25" borderId="12" xfId="0" applyNumberFormat="1" applyFont="1" applyFill="1" applyBorder="1" applyAlignment="1">
      <alignment vertical="top" wrapText="1"/>
    </xf>
    <xf numFmtId="0" fontId="21" fillId="25" borderId="12" xfId="0" applyFont="1" applyFill="1" applyBorder="1" applyAlignment="1">
      <alignment vertical="center" wrapText="1"/>
    </xf>
    <xf numFmtId="165" fontId="21" fillId="25" borderId="12" xfId="0" applyNumberFormat="1" applyFont="1" applyFill="1" applyBorder="1" applyAlignment="1">
      <alignment horizontal="right" vertical="center"/>
    </xf>
    <xf numFmtId="0" fontId="20" fillId="0" borderId="13" xfId="0" applyFont="1" applyFill="1" applyBorder="1" applyAlignment="1">
      <alignment vertical="center"/>
    </xf>
    <xf numFmtId="0" fontId="21" fillId="0" borderId="11" xfId="0" applyFont="1" applyFill="1" applyBorder="1" applyAlignment="1">
      <alignment vertical="center"/>
    </xf>
    <xf numFmtId="165" fontId="20" fillId="0" borderId="0" xfId="0" applyNumberFormat="1" applyFont="1" applyAlignment="1">
      <alignment/>
    </xf>
    <xf numFmtId="0" fontId="12" fillId="0" borderId="0" xfId="70" applyFont="1" applyFill="1" applyAlignment="1">
      <alignment vertical="center"/>
      <protection/>
    </xf>
    <xf numFmtId="0" fontId="13" fillId="0" borderId="0" xfId="70" applyFont="1" applyAlignment="1">
      <alignment vertical="center"/>
      <protection/>
    </xf>
    <xf numFmtId="165" fontId="20" fillId="28" borderId="11" xfId="0" applyNumberFormat="1" applyFont="1" applyFill="1" applyBorder="1" applyAlignment="1">
      <alignment horizontal="right" vertical="center"/>
    </xf>
    <xf numFmtId="0" fontId="20" fillId="28" borderId="11" xfId="0" applyFont="1" applyFill="1" applyBorder="1" applyAlignment="1">
      <alignment vertical="center" wrapText="1"/>
    </xf>
    <xf numFmtId="165" fontId="21" fillId="0" borderId="11" xfId="0" applyNumberFormat="1" applyFont="1" applyFill="1" applyBorder="1" applyAlignment="1">
      <alignment horizontal="right" vertical="center"/>
    </xf>
    <xf numFmtId="3" fontId="20" fillId="28" borderId="0" xfId="0" applyNumberFormat="1" applyFont="1" applyFill="1" applyAlignment="1">
      <alignment vertical="top"/>
    </xf>
    <xf numFmtId="0" fontId="20" fillId="28" borderId="0" xfId="0" applyFont="1" applyFill="1" applyAlignment="1">
      <alignment/>
    </xf>
    <xf numFmtId="3" fontId="21" fillId="28" borderId="11" xfId="0" applyNumberFormat="1" applyFont="1" applyFill="1" applyBorder="1" applyAlignment="1">
      <alignment horizontal="right" vertical="center" wrapText="1"/>
    </xf>
    <xf numFmtId="165" fontId="21" fillId="28" borderId="11" xfId="0" applyNumberFormat="1" applyFont="1" applyFill="1" applyBorder="1" applyAlignment="1">
      <alignment horizontal="right" vertical="center" wrapText="1"/>
    </xf>
    <xf numFmtId="3" fontId="21" fillId="28" borderId="11" xfId="0" applyNumberFormat="1" applyFont="1" applyFill="1" applyBorder="1" applyAlignment="1">
      <alignment horizontal="right" vertical="center"/>
    </xf>
    <xf numFmtId="165" fontId="21" fillId="28" borderId="11" xfId="0" applyNumberFormat="1" applyFont="1" applyFill="1" applyBorder="1" applyAlignment="1">
      <alignment horizontal="right" vertical="center"/>
    </xf>
    <xf numFmtId="3" fontId="20" fillId="28" borderId="11" xfId="0" applyNumberFormat="1" applyFont="1" applyFill="1" applyBorder="1" applyAlignment="1">
      <alignment horizontal="right" vertical="center"/>
    </xf>
    <xf numFmtId="3" fontId="21" fillId="28" borderId="12" xfId="0" applyNumberFormat="1" applyFont="1" applyFill="1" applyBorder="1" applyAlignment="1">
      <alignment horizontal="right" vertical="center"/>
    </xf>
    <xf numFmtId="165" fontId="21" fillId="28" borderId="12" xfId="0" applyNumberFormat="1" applyFont="1" applyFill="1" applyBorder="1" applyAlignment="1">
      <alignment horizontal="right" vertical="center"/>
    </xf>
    <xf numFmtId="165" fontId="13" fillId="28" borderId="11" xfId="0" applyNumberFormat="1" applyFont="1" applyFill="1" applyBorder="1" applyAlignment="1">
      <alignment horizontal="right" vertical="center"/>
    </xf>
    <xf numFmtId="3" fontId="21" fillId="28" borderId="11" xfId="0" applyNumberFormat="1" applyFont="1" applyFill="1" applyBorder="1" applyAlignment="1">
      <alignment vertical="center" wrapText="1"/>
    </xf>
    <xf numFmtId="165" fontId="21" fillId="28" borderId="11" xfId="0" applyNumberFormat="1" applyFont="1" applyFill="1" applyBorder="1" applyAlignment="1">
      <alignment vertical="center" wrapText="1"/>
    </xf>
    <xf numFmtId="0" fontId="21" fillId="28" borderId="11" xfId="0" applyFont="1" applyFill="1" applyBorder="1" applyAlignment="1">
      <alignment vertical="center" wrapText="1"/>
    </xf>
    <xf numFmtId="165" fontId="20" fillId="28" borderId="11" xfId="0" applyNumberFormat="1" applyFont="1" applyFill="1" applyBorder="1" applyAlignment="1">
      <alignment vertical="center" wrapText="1"/>
    </xf>
    <xf numFmtId="165" fontId="20" fillId="28" borderId="0" xfId="0" applyNumberFormat="1" applyFont="1" applyFill="1" applyAlignment="1">
      <alignment vertical="center"/>
    </xf>
    <xf numFmtId="3" fontId="20" fillId="28" borderId="0" xfId="0" applyNumberFormat="1" applyFont="1" applyFill="1" applyAlignment="1">
      <alignment vertical="center"/>
    </xf>
    <xf numFmtId="0" fontId="20" fillId="28" borderId="0" xfId="0" applyFont="1" applyFill="1" applyAlignment="1">
      <alignment vertical="center"/>
    </xf>
    <xf numFmtId="0" fontId="20" fillId="28" borderId="13" xfId="0" applyFont="1" applyFill="1" applyBorder="1" applyAlignment="1">
      <alignment vertical="center"/>
    </xf>
    <xf numFmtId="165" fontId="20" fillId="28" borderId="0" xfId="0" applyNumberFormat="1" applyFont="1" applyFill="1" applyBorder="1" applyAlignment="1">
      <alignment horizontal="right" vertical="center"/>
    </xf>
    <xf numFmtId="0" fontId="20" fillId="18" borderId="0" xfId="0" applyFont="1" applyFill="1" applyAlignment="1">
      <alignment vertical="center"/>
    </xf>
    <xf numFmtId="165" fontId="20" fillId="5" borderId="11" xfId="0" applyNumberFormat="1" applyFont="1" applyFill="1" applyBorder="1" applyAlignment="1">
      <alignment horizontal="right" vertical="center"/>
    </xf>
    <xf numFmtId="165" fontId="20" fillId="0" borderId="0" xfId="0" applyNumberFormat="1" applyFont="1" applyFill="1" applyBorder="1" applyAlignment="1">
      <alignment horizontal="right" vertical="center"/>
    </xf>
    <xf numFmtId="165" fontId="20" fillId="19" borderId="11" xfId="0" applyNumberFormat="1" applyFont="1" applyFill="1" applyBorder="1" applyAlignment="1">
      <alignment horizontal="right" vertical="center"/>
    </xf>
    <xf numFmtId="0" fontId="22" fillId="7" borderId="11" xfId="0" applyFont="1" applyFill="1" applyBorder="1" applyAlignment="1">
      <alignment horizontal="center" vertical="center" textRotation="90" wrapText="1"/>
    </xf>
    <xf numFmtId="0" fontId="23" fillId="7" borderId="11" xfId="0" applyFont="1" applyFill="1" applyBorder="1" applyAlignment="1">
      <alignment horizontal="center" vertical="center" wrapText="1"/>
    </xf>
    <xf numFmtId="3" fontId="23" fillId="28" borderId="11" xfId="0" applyNumberFormat="1" applyFont="1" applyFill="1" applyBorder="1" applyAlignment="1">
      <alignment horizontal="center" vertical="center" wrapText="1"/>
    </xf>
    <xf numFmtId="165" fontId="24" fillId="28" borderId="0" xfId="0" applyNumberFormat="1" applyFont="1" applyFill="1" applyAlignment="1">
      <alignment/>
    </xf>
    <xf numFmtId="3" fontId="23" fillId="7" borderId="11" xfId="0" applyNumberFormat="1" applyFont="1" applyFill="1" applyBorder="1" applyAlignment="1">
      <alignment horizontal="center" vertical="center" wrapText="1"/>
    </xf>
    <xf numFmtId="164" fontId="22" fillId="7" borderId="11" xfId="0" applyNumberFormat="1" applyFont="1" applyFill="1" applyBorder="1" applyAlignment="1">
      <alignment horizontal="center" vertical="center" textRotation="90" wrapText="1"/>
    </xf>
    <xf numFmtId="165" fontId="15" fillId="28" borderId="0" xfId="0" applyNumberFormat="1" applyFont="1" applyFill="1" applyAlignment="1">
      <alignment/>
    </xf>
    <xf numFmtId="0" fontId="15" fillId="0" borderId="0" xfId="0" applyFont="1" applyAlignment="1">
      <alignment/>
    </xf>
    <xf numFmtId="49" fontId="19" fillId="15" borderId="12" xfId="70" applyNumberFormat="1" applyFont="1" applyFill="1" applyBorder="1" applyAlignment="1">
      <alignment horizontal="right" vertical="center"/>
      <protection/>
    </xf>
    <xf numFmtId="49" fontId="19" fillId="15" borderId="12" xfId="70" applyNumberFormat="1" applyFont="1" applyFill="1" applyBorder="1" applyAlignment="1">
      <alignment horizontal="center" vertical="center"/>
      <protection/>
    </xf>
    <xf numFmtId="0" fontId="19" fillId="15" borderId="12" xfId="70" applyFont="1" applyFill="1" applyBorder="1" applyAlignment="1">
      <alignment horizontal="center" vertical="center" wrapText="1"/>
      <protection/>
    </xf>
    <xf numFmtId="165" fontId="19" fillId="15" borderId="12" xfId="70" applyNumberFormat="1" applyFont="1" applyFill="1" applyBorder="1" applyAlignment="1">
      <alignment vertical="center"/>
      <protection/>
    </xf>
    <xf numFmtId="49" fontId="25" fillId="0" borderId="11" xfId="70" applyNumberFormat="1" applyFont="1" applyBorder="1" applyAlignment="1">
      <alignment horizontal="center" vertical="center"/>
      <protection/>
    </xf>
    <xf numFmtId="0" fontId="25" fillId="0" borderId="11" xfId="70" applyFont="1" applyBorder="1" applyAlignment="1">
      <alignment horizontal="center" vertical="center"/>
      <protection/>
    </xf>
    <xf numFmtId="3" fontId="15" fillId="7" borderId="11" xfId="0" applyNumberFormat="1" applyFont="1" applyFill="1" applyBorder="1" applyAlignment="1">
      <alignment horizontal="center" vertical="center" wrapText="1"/>
    </xf>
    <xf numFmtId="0" fontId="15" fillId="7" borderId="11" xfId="0" applyFont="1" applyFill="1" applyBorder="1" applyAlignment="1">
      <alignment horizontal="center" vertical="center" wrapText="1"/>
    </xf>
    <xf numFmtId="3" fontId="15" fillId="28" borderId="11" xfId="0" applyNumberFormat="1" applyFont="1" applyFill="1" applyBorder="1" applyAlignment="1">
      <alignment horizontal="center" vertical="center" wrapText="1"/>
    </xf>
    <xf numFmtId="164" fontId="20" fillId="0" borderId="11" xfId="0" applyNumberFormat="1" applyFont="1" applyBorder="1" applyAlignment="1">
      <alignment vertical="center" wrapText="1"/>
    </xf>
    <xf numFmtId="164" fontId="21" fillId="22" borderId="11" xfId="0" applyNumberFormat="1" applyFont="1" applyFill="1" applyBorder="1" applyAlignment="1">
      <alignment vertical="center" wrapText="1"/>
    </xf>
    <xf numFmtId="3" fontId="20" fillId="0" borderId="11" xfId="0" applyNumberFormat="1" applyFont="1" applyFill="1" applyBorder="1" applyAlignment="1">
      <alignment horizontal="right" vertical="center"/>
    </xf>
    <xf numFmtId="165" fontId="20" fillId="29" borderId="11" xfId="0" applyNumberFormat="1" applyFont="1" applyFill="1" applyBorder="1" applyAlignment="1">
      <alignment horizontal="right" vertical="center"/>
    </xf>
    <xf numFmtId="165" fontId="20" fillId="0" borderId="11" xfId="0" applyNumberFormat="1" applyFont="1" applyBorder="1" applyAlignment="1">
      <alignment vertical="center"/>
    </xf>
    <xf numFmtId="165" fontId="44" fillId="0" borderId="11" xfId="0" applyNumberFormat="1" applyFont="1" applyBorder="1" applyAlignment="1">
      <alignment vertical="center"/>
    </xf>
    <xf numFmtId="165" fontId="45" fillId="22" borderId="11" xfId="0" applyNumberFormat="1" applyFont="1" applyFill="1" applyBorder="1" applyAlignment="1">
      <alignment horizontal="right" vertical="center"/>
    </xf>
    <xf numFmtId="165" fontId="20" fillId="0" borderId="11" xfId="0" applyNumberFormat="1" applyFont="1" applyFill="1" applyBorder="1" applyAlignment="1">
      <alignment vertical="center"/>
    </xf>
    <xf numFmtId="165" fontId="44" fillId="0" borderId="11" xfId="0" applyNumberFormat="1" applyFont="1" applyFill="1" applyBorder="1" applyAlignment="1">
      <alignment vertical="center"/>
    </xf>
    <xf numFmtId="165" fontId="45" fillId="25" borderId="11" xfId="0" applyNumberFormat="1" applyFont="1" applyFill="1" applyBorder="1" applyAlignment="1">
      <alignment horizontal="right" vertical="center"/>
    </xf>
    <xf numFmtId="165" fontId="45" fillId="22" borderId="11" xfId="0" applyNumberFormat="1" applyFont="1" applyFill="1" applyBorder="1" applyAlignment="1">
      <alignment vertical="center" wrapText="1"/>
    </xf>
    <xf numFmtId="165" fontId="45" fillId="3" borderId="11" xfId="0" applyNumberFormat="1" applyFont="1" applyFill="1" applyBorder="1" applyAlignment="1">
      <alignment vertical="center" wrapText="1"/>
    </xf>
    <xf numFmtId="0" fontId="20" fillId="0" borderId="11" xfId="0" applyNumberFormat="1" applyFont="1" applyFill="1" applyBorder="1" applyAlignment="1">
      <alignment vertical="center" wrapText="1"/>
    </xf>
    <xf numFmtId="164" fontId="21" fillId="25" borderId="11" xfId="0" applyNumberFormat="1" applyFont="1" applyFill="1" applyBorder="1" applyAlignment="1">
      <alignment vertical="center" wrapText="1"/>
    </xf>
    <xf numFmtId="0" fontId="13" fillId="0" borderId="11" xfId="0" applyFont="1" applyFill="1" applyBorder="1" applyAlignment="1">
      <alignment vertical="center" wrapText="1"/>
    </xf>
    <xf numFmtId="164" fontId="21" fillId="3" borderId="11" xfId="0" applyNumberFormat="1" applyFont="1" applyFill="1" applyBorder="1" applyAlignment="1">
      <alignment vertical="center" wrapText="1"/>
    </xf>
    <xf numFmtId="164" fontId="21" fillId="8" borderId="11" xfId="0" applyNumberFormat="1" applyFont="1" applyFill="1" applyBorder="1" applyAlignment="1">
      <alignment vertical="center" wrapText="1"/>
    </xf>
    <xf numFmtId="164" fontId="20" fillId="22" borderId="11" xfId="0" applyNumberFormat="1" applyFont="1" applyFill="1" applyBorder="1" applyAlignment="1">
      <alignment vertical="center" wrapText="1"/>
    </xf>
    <xf numFmtId="0" fontId="18" fillId="0" borderId="14" xfId="70" applyFont="1" applyFill="1" applyBorder="1" applyAlignment="1" applyProtection="1">
      <alignment horizontal="center" vertical="center" wrapText="1"/>
      <protection/>
    </xf>
    <xf numFmtId="0" fontId="18" fillId="0" borderId="15" xfId="70" applyFont="1" applyFill="1" applyBorder="1" applyAlignment="1" applyProtection="1">
      <alignment horizontal="center" vertical="center" wrapText="1"/>
      <protection/>
    </xf>
    <xf numFmtId="49" fontId="16" fillId="0" borderId="13" xfId="70" applyNumberFormat="1" applyFont="1" applyBorder="1" applyAlignment="1">
      <alignment horizontal="center" vertical="center" wrapText="1"/>
      <protection/>
    </xf>
    <xf numFmtId="49" fontId="18" fillId="0" borderId="14" xfId="70" applyNumberFormat="1" applyFont="1" applyBorder="1" applyAlignment="1">
      <alignment horizontal="center" vertical="center"/>
      <protection/>
    </xf>
    <xf numFmtId="49" fontId="18" fillId="0" borderId="15" xfId="70" applyNumberFormat="1" applyFont="1" applyBorder="1" applyAlignment="1">
      <alignment horizontal="center" vertical="center"/>
      <protection/>
    </xf>
    <xf numFmtId="0" fontId="18" fillId="0" borderId="14" xfId="70" applyFont="1" applyBorder="1" applyAlignment="1">
      <alignment horizontal="center" vertical="center" textRotation="90" wrapText="1"/>
      <protection/>
    </xf>
    <xf numFmtId="0" fontId="0" fillId="0" borderId="15" xfId="0" applyBorder="1" applyAlignment="1">
      <alignment/>
    </xf>
    <xf numFmtId="0" fontId="18" fillId="0" borderId="11" xfId="70" applyFont="1" applyFill="1" applyBorder="1" applyAlignment="1" applyProtection="1">
      <alignment horizontal="center" vertical="center" wrapText="1"/>
      <protection/>
    </xf>
    <xf numFmtId="0" fontId="17" fillId="0" borderId="13" xfId="70" applyFont="1" applyBorder="1" applyAlignment="1">
      <alignment horizontal="center" vertical="center"/>
      <protection/>
    </xf>
    <xf numFmtId="0" fontId="14" fillId="0" borderId="0" xfId="0" applyFont="1" applyAlignment="1">
      <alignment horizontal="center"/>
    </xf>
    <xf numFmtId="0" fontId="12" fillId="0" borderId="14" xfId="70" applyFont="1" applyBorder="1" applyAlignment="1">
      <alignment horizontal="center" vertical="center"/>
      <protection/>
    </xf>
    <xf numFmtId="0" fontId="12" fillId="0" borderId="15" xfId="70" applyFont="1" applyBorder="1" applyAlignment="1">
      <alignment horizontal="center" vertical="center"/>
      <protection/>
    </xf>
    <xf numFmtId="49" fontId="13" fillId="0" borderId="0" xfId="70" applyNumberFormat="1" applyFont="1" applyAlignment="1">
      <alignment horizontal="left" vertical="center" wrapText="1"/>
      <protection/>
    </xf>
    <xf numFmtId="0" fontId="13" fillId="0" borderId="0" xfId="70" applyFont="1" applyAlignment="1">
      <alignment horizontal="left" vertical="center" wrapText="1"/>
      <protection/>
    </xf>
  </cellXfs>
  <cellStyles count="7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el5" xfId="33"/>
    <cellStyle name="Cel6" xfId="34"/>
    <cellStyle name="Cell1" xfId="35"/>
    <cellStyle name="Cell2" xfId="36"/>
    <cellStyle name="Cell3" xfId="37"/>
    <cellStyle name="Cell4" xfId="38"/>
    <cellStyle name="Name1" xfId="39"/>
    <cellStyle name="Name2" xfId="40"/>
    <cellStyle name="Name3" xfId="41"/>
    <cellStyle name="Name4" xfId="42"/>
    <cellStyle name="Name5" xfId="43"/>
    <cellStyle name="White1" xfId="44"/>
    <cellStyle name="White2" xfId="45"/>
    <cellStyle name="White3" xfId="46"/>
    <cellStyle name="White4" xfId="47"/>
    <cellStyle name="White5"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Hyperlink" xfId="58"/>
    <cellStyle name="Currency" xfId="59"/>
    <cellStyle name="Currency [0]" xfId="60"/>
    <cellStyle name="Заголовок 1" xfId="61"/>
    <cellStyle name="Заголовок 2" xfId="62"/>
    <cellStyle name="Заголовок 3" xfId="63"/>
    <cellStyle name="Заголовок 4" xfId="64"/>
    <cellStyle name="Итог" xfId="65"/>
    <cellStyle name="Контрольная ячейка" xfId="66"/>
    <cellStyle name="Название" xfId="67"/>
    <cellStyle name="Нейтральный" xfId="68"/>
    <cellStyle name="Обычный_proekt99" xfId="69"/>
    <cellStyle name="Обычный_Xl0000031" xfId="70"/>
    <cellStyle name="Followed Hyperlink" xfId="71"/>
    <cellStyle name="Плохой" xfId="72"/>
    <cellStyle name="Пояснение" xfId="73"/>
    <cellStyle name="Примечание" xfId="74"/>
    <cellStyle name="Percent" xfId="75"/>
    <cellStyle name="Связанная ячейка" xfId="76"/>
    <cellStyle name="Стиль 1" xfId="77"/>
    <cellStyle name="Текст предупреждения" xfId="78"/>
    <cellStyle name="Тысячи [0]_doxod " xfId="79"/>
    <cellStyle name="Тысячи_doxod " xfId="80"/>
    <cellStyle name="Comma" xfId="81"/>
    <cellStyle name="Comma [0]" xfId="82"/>
    <cellStyle name="Хороший"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X72"/>
  <sheetViews>
    <sheetView tabSelected="1" view="pageBreakPreview" zoomScale="60" zoomScaleNormal="70" workbookViewId="0" topLeftCell="A1">
      <selection activeCell="A3" sqref="A3:X3"/>
    </sheetView>
  </sheetViews>
  <sheetFormatPr defaultColWidth="9.140625" defaultRowHeight="15" outlineLevelRow="1"/>
  <cols>
    <col min="1" max="1" width="7.421875" style="1" customWidth="1"/>
    <col min="2" max="2" width="6.28125" style="1" customWidth="1"/>
    <col min="3" max="3" width="7.00390625" style="1" customWidth="1"/>
    <col min="4" max="4" width="5.140625" style="1" hidden="1" customWidth="1"/>
    <col min="5" max="5" width="75.57421875" style="1" hidden="1" customWidth="1"/>
    <col min="6" max="6" width="75.7109375" style="2" customWidth="1"/>
    <col min="7" max="7" width="18.7109375" style="2" hidden="1" customWidth="1"/>
    <col min="8" max="8" width="18.140625" style="2" hidden="1" customWidth="1"/>
    <col min="9" max="9" width="17.140625" style="2" hidden="1" customWidth="1"/>
    <col min="10" max="10" width="19.57421875" style="2" hidden="1" customWidth="1"/>
    <col min="11" max="11" width="9.140625" style="2" hidden="1" customWidth="1"/>
    <col min="12" max="12" width="18.140625" style="2" hidden="1" customWidth="1"/>
    <col min="13" max="13" width="17.140625" style="2" hidden="1" customWidth="1"/>
    <col min="14" max="14" width="19.57421875" style="2" hidden="1" customWidth="1"/>
    <col min="15" max="15" width="18.140625" style="2" hidden="1" customWidth="1"/>
    <col min="16" max="16" width="19.28125" style="2" hidden="1" customWidth="1"/>
    <col min="17" max="17" width="17.28125" style="2" hidden="1" customWidth="1"/>
    <col min="18" max="18" width="18.421875" style="2" hidden="1" customWidth="1"/>
    <col min="19" max="19" width="17.8515625" style="2" hidden="1" customWidth="1"/>
    <col min="20" max="20" width="13.8515625" style="2" hidden="1" customWidth="1"/>
    <col min="21" max="21" width="17.8515625" style="2" hidden="1" customWidth="1"/>
    <col min="22" max="23" width="17.28125" style="2" hidden="1" customWidth="1"/>
    <col min="24" max="24" width="17.8515625" style="2" customWidth="1"/>
    <col min="25" max="16384" width="9.140625" style="2" customWidth="1"/>
  </cols>
  <sheetData>
    <row r="1" ht="0.75" customHeight="1"/>
    <row r="2" ht="5.25" customHeight="1"/>
    <row r="3" spans="1:24" s="108" customFormat="1" ht="54" customHeight="1">
      <c r="A3" s="182" t="s">
        <v>214</v>
      </c>
      <c r="B3" s="182"/>
      <c r="C3" s="182"/>
      <c r="D3" s="182"/>
      <c r="E3" s="182"/>
      <c r="F3" s="182"/>
      <c r="G3" s="182"/>
      <c r="H3" s="182"/>
      <c r="I3" s="182"/>
      <c r="J3" s="182"/>
      <c r="K3" s="182"/>
      <c r="L3" s="182"/>
      <c r="M3" s="182"/>
      <c r="N3" s="182"/>
      <c r="O3" s="182"/>
      <c r="P3" s="182"/>
      <c r="Q3" s="182"/>
      <c r="R3" s="182"/>
      <c r="S3" s="182"/>
      <c r="T3" s="182"/>
      <c r="U3" s="182"/>
      <c r="V3" s="182"/>
      <c r="W3" s="182"/>
      <c r="X3" s="182"/>
    </row>
    <row r="4" spans="1:24" ht="60.75" customHeight="1">
      <c r="A4" s="183" t="s">
        <v>215</v>
      </c>
      <c r="B4" s="183"/>
      <c r="C4" s="183"/>
      <c r="D4" s="183"/>
      <c r="E4" s="183"/>
      <c r="F4" s="183"/>
      <c r="G4" s="183"/>
      <c r="H4" s="183"/>
      <c r="I4" s="183"/>
      <c r="J4" s="183"/>
      <c r="K4" s="183"/>
      <c r="L4" s="183"/>
      <c r="M4" s="183"/>
      <c r="N4" s="183"/>
      <c r="O4" s="183"/>
      <c r="P4" s="183"/>
      <c r="Q4" s="183"/>
      <c r="R4" s="183"/>
      <c r="S4" s="183"/>
      <c r="T4" s="183"/>
      <c r="U4" s="183"/>
      <c r="V4" s="183"/>
      <c r="W4" s="183"/>
      <c r="X4" s="183"/>
    </row>
    <row r="5" spans="1:24" ht="18.75" customHeight="1">
      <c r="A5" s="179"/>
      <c r="B5" s="179"/>
      <c r="C5" s="179"/>
      <c r="D5" s="179"/>
      <c r="E5" s="179"/>
      <c r="F5" s="179"/>
      <c r="G5" s="179"/>
      <c r="H5" s="4"/>
      <c r="I5" s="4"/>
      <c r="J5" s="4"/>
      <c r="L5" s="4"/>
      <c r="M5" s="4"/>
      <c r="N5" s="4"/>
      <c r="O5" s="4"/>
      <c r="P5" s="4"/>
      <c r="Q5" s="4"/>
      <c r="R5" s="4"/>
      <c r="S5" s="4"/>
      <c r="T5" s="4"/>
      <c r="U5" s="4"/>
      <c r="V5" s="4"/>
      <c r="W5" s="4"/>
      <c r="X5" s="4"/>
    </row>
    <row r="6" spans="1:24" s="7" customFormat="1" ht="15.75">
      <c r="A6" s="5"/>
      <c r="B6" s="5"/>
      <c r="C6" s="5"/>
      <c r="D6" s="5"/>
      <c r="E6" s="5"/>
      <c r="F6" s="3"/>
      <c r="G6" s="172" t="s">
        <v>198</v>
      </c>
      <c r="H6" s="172"/>
      <c r="I6" s="172"/>
      <c r="J6" s="172"/>
      <c r="L6" s="178" t="s">
        <v>199</v>
      </c>
      <c r="M6" s="178"/>
      <c r="N6" s="178"/>
      <c r="O6" s="172" t="s">
        <v>200</v>
      </c>
      <c r="P6" s="172"/>
      <c r="Q6" s="178" t="s">
        <v>201</v>
      </c>
      <c r="R6" s="178"/>
      <c r="S6" s="178"/>
      <c r="T6" s="172" t="s">
        <v>202</v>
      </c>
      <c r="U6" s="172"/>
      <c r="X6" s="6" t="s">
        <v>281</v>
      </c>
    </row>
    <row r="7" spans="1:24" s="7" customFormat="1" ht="42" customHeight="1">
      <c r="A7" s="175" t="s">
        <v>207</v>
      </c>
      <c r="B7" s="175" t="s">
        <v>208</v>
      </c>
      <c r="C7" s="175" t="s">
        <v>209</v>
      </c>
      <c r="D7" s="180"/>
      <c r="E7" s="8" t="s">
        <v>357</v>
      </c>
      <c r="F7" s="8" t="s">
        <v>356</v>
      </c>
      <c r="G7" s="170" t="s">
        <v>371</v>
      </c>
      <c r="H7" s="170" t="s">
        <v>249</v>
      </c>
      <c r="I7" s="170" t="s">
        <v>250</v>
      </c>
      <c r="J7" s="170" t="s">
        <v>371</v>
      </c>
      <c r="L7" s="170" t="s">
        <v>249</v>
      </c>
      <c r="M7" s="170" t="s">
        <v>250</v>
      </c>
      <c r="N7" s="170" t="s">
        <v>371</v>
      </c>
      <c r="O7" s="170" t="s">
        <v>249</v>
      </c>
      <c r="P7" s="170" t="s">
        <v>371</v>
      </c>
      <c r="Q7" s="170" t="s">
        <v>249</v>
      </c>
      <c r="R7" s="170" t="s">
        <v>250</v>
      </c>
      <c r="S7" s="170" t="s">
        <v>371</v>
      </c>
      <c r="T7" s="170" t="s">
        <v>249</v>
      </c>
      <c r="U7" s="170" t="s">
        <v>371</v>
      </c>
      <c r="V7" s="170" t="s">
        <v>249</v>
      </c>
      <c r="W7" s="170" t="s">
        <v>250</v>
      </c>
      <c r="X7" s="170" t="s">
        <v>210</v>
      </c>
    </row>
    <row r="8" spans="1:24" ht="8.25" customHeight="1">
      <c r="A8" s="176"/>
      <c r="B8" s="176"/>
      <c r="C8" s="176"/>
      <c r="D8" s="181"/>
      <c r="E8" s="173" t="s">
        <v>280</v>
      </c>
      <c r="F8" s="177" t="s">
        <v>33</v>
      </c>
      <c r="G8" s="171"/>
      <c r="H8" s="171"/>
      <c r="I8" s="171"/>
      <c r="J8" s="171"/>
      <c r="L8" s="171"/>
      <c r="M8" s="171"/>
      <c r="N8" s="171"/>
      <c r="O8" s="171"/>
      <c r="P8" s="171"/>
      <c r="Q8" s="171"/>
      <c r="R8" s="171"/>
      <c r="S8" s="171"/>
      <c r="T8" s="171"/>
      <c r="U8" s="171"/>
      <c r="V8" s="171"/>
      <c r="W8" s="171"/>
      <c r="X8" s="171"/>
    </row>
    <row r="9" spans="1:24" ht="13.5" customHeight="1">
      <c r="A9" s="176"/>
      <c r="B9" s="176"/>
      <c r="C9" s="176"/>
      <c r="D9" s="181"/>
      <c r="E9" s="174"/>
      <c r="F9" s="177"/>
      <c r="G9" s="171"/>
      <c r="H9" s="171"/>
      <c r="I9" s="171"/>
      <c r="J9" s="171"/>
      <c r="L9" s="171"/>
      <c r="M9" s="171"/>
      <c r="N9" s="171"/>
      <c r="O9" s="171"/>
      <c r="P9" s="171"/>
      <c r="Q9" s="171"/>
      <c r="R9" s="171"/>
      <c r="S9" s="171"/>
      <c r="T9" s="171"/>
      <c r="U9" s="171"/>
      <c r="V9" s="171"/>
      <c r="W9" s="171"/>
      <c r="X9" s="171"/>
    </row>
    <row r="10" spans="1:24" ht="13.5" customHeight="1">
      <c r="A10" s="176"/>
      <c r="B10" s="176"/>
      <c r="C10" s="176"/>
      <c r="D10" s="181"/>
      <c r="E10" s="174"/>
      <c r="F10" s="170"/>
      <c r="G10" s="171"/>
      <c r="H10" s="171"/>
      <c r="I10" s="171"/>
      <c r="J10" s="171"/>
      <c r="L10" s="171"/>
      <c r="M10" s="171"/>
      <c r="N10" s="171"/>
      <c r="O10" s="171"/>
      <c r="P10" s="171"/>
      <c r="Q10" s="171"/>
      <c r="R10" s="171"/>
      <c r="S10" s="171"/>
      <c r="T10" s="171"/>
      <c r="U10" s="171"/>
      <c r="V10" s="171"/>
      <c r="W10" s="171"/>
      <c r="X10" s="171"/>
    </row>
    <row r="11" spans="1:24" ht="21" customHeight="1">
      <c r="A11" s="147" t="s">
        <v>35</v>
      </c>
      <c r="B11" s="147" t="s">
        <v>44</v>
      </c>
      <c r="C11" s="147" t="s">
        <v>54</v>
      </c>
      <c r="D11" s="147"/>
      <c r="E11" s="147" t="s">
        <v>235</v>
      </c>
      <c r="F11" s="148">
        <v>4</v>
      </c>
      <c r="G11" s="148">
        <v>3</v>
      </c>
      <c r="H11" s="148"/>
      <c r="I11" s="148"/>
      <c r="J11" s="148">
        <v>3</v>
      </c>
      <c r="K11" s="148"/>
      <c r="L11" s="148"/>
      <c r="M11" s="148"/>
      <c r="N11" s="148">
        <v>3</v>
      </c>
      <c r="O11" s="148"/>
      <c r="P11" s="148"/>
      <c r="Q11" s="148"/>
      <c r="R11" s="148"/>
      <c r="S11" s="148">
        <v>6</v>
      </c>
      <c r="T11" s="148"/>
      <c r="U11" s="148">
        <v>6</v>
      </c>
      <c r="V11" s="148"/>
      <c r="W11" s="148"/>
      <c r="X11" s="148">
        <v>5</v>
      </c>
    </row>
    <row r="12" spans="1:24" ht="31.5" customHeight="1">
      <c r="A12" s="143"/>
      <c r="B12" s="143"/>
      <c r="C12" s="143"/>
      <c r="D12" s="143"/>
      <c r="E12" s="144" t="s">
        <v>36</v>
      </c>
      <c r="F12" s="145" t="s">
        <v>37</v>
      </c>
      <c r="G12" s="146">
        <f>G13+G23+G58</f>
        <v>90588659</v>
      </c>
      <c r="H12" s="146">
        <f>H13+H23+H58</f>
        <v>1300466.7000000002</v>
      </c>
      <c r="I12" s="146">
        <f>I13+I23+I58</f>
        <v>-2065519</v>
      </c>
      <c r="J12" s="146">
        <f>J13+J23+J58</f>
        <v>89823606.69999999</v>
      </c>
      <c r="L12" s="146">
        <f>L13+L23+L58</f>
        <v>50000</v>
      </c>
      <c r="M12" s="146">
        <f>M13+M23+M58</f>
        <v>0</v>
      </c>
      <c r="N12" s="146">
        <f>N13+N23+N58</f>
        <v>89873606.69999999</v>
      </c>
      <c r="O12" s="146">
        <f>O13+O23+O58</f>
        <v>645164</v>
      </c>
      <c r="P12" s="146">
        <f aca="true" t="shared" si="0" ref="P12:V12">P13+P23+P58+P52</f>
        <v>90518770.69999999</v>
      </c>
      <c r="Q12" s="146">
        <f t="shared" si="0"/>
        <v>426190.6</v>
      </c>
      <c r="R12" s="146">
        <f t="shared" si="0"/>
        <v>-163700</v>
      </c>
      <c r="S12" s="146">
        <f t="shared" si="0"/>
        <v>90781261.3</v>
      </c>
      <c r="T12" s="146">
        <f t="shared" si="0"/>
        <v>0</v>
      </c>
      <c r="U12" s="146">
        <f t="shared" si="0"/>
        <v>90781261.3</v>
      </c>
      <c r="V12" s="146">
        <f t="shared" si="0"/>
        <v>395747</v>
      </c>
      <c r="W12" s="146">
        <f>W13+W23+W58+W52</f>
        <v>-104151</v>
      </c>
      <c r="X12" s="146">
        <f>X13+X23+X58+X52</f>
        <v>91072857.3</v>
      </c>
    </row>
    <row r="13" spans="1:24" s="12" customFormat="1" ht="27" customHeight="1">
      <c r="A13" s="9" t="s">
        <v>38</v>
      </c>
      <c r="B13" s="9"/>
      <c r="C13" s="9"/>
      <c r="D13" s="9"/>
      <c r="E13" s="10" t="s">
        <v>39</v>
      </c>
      <c r="F13" s="11" t="s">
        <v>40</v>
      </c>
      <c r="G13" s="76">
        <f>G14+G18</f>
        <v>7616866</v>
      </c>
      <c r="H13" s="76">
        <f>H14+H18</f>
        <v>135368.3</v>
      </c>
      <c r="I13" s="76">
        <f>I14+I18</f>
        <v>0</v>
      </c>
      <c r="J13" s="76">
        <f>J14+J18</f>
        <v>7752234.3</v>
      </c>
      <c r="L13" s="76">
        <f aca="true" t="shared" si="1" ref="L13:R13">L14+L18</f>
        <v>50000</v>
      </c>
      <c r="M13" s="76">
        <f t="shared" si="1"/>
        <v>0</v>
      </c>
      <c r="N13" s="76">
        <f t="shared" si="1"/>
        <v>7802234.3</v>
      </c>
      <c r="O13" s="76">
        <f t="shared" si="1"/>
        <v>0</v>
      </c>
      <c r="P13" s="76">
        <f t="shared" si="1"/>
        <v>7802234.3</v>
      </c>
      <c r="Q13" s="76">
        <f t="shared" si="1"/>
        <v>326949.2</v>
      </c>
      <c r="R13" s="76">
        <f t="shared" si="1"/>
        <v>0</v>
      </c>
      <c r="S13" s="76">
        <f>P13+Q13+R13</f>
        <v>8129183.5</v>
      </c>
      <c r="T13" s="76">
        <f>T14+T18</f>
        <v>0</v>
      </c>
      <c r="U13" s="76">
        <f>R13+S13+T13</f>
        <v>8129183.5</v>
      </c>
      <c r="V13" s="76">
        <f>V14+V18</f>
        <v>0</v>
      </c>
      <c r="W13" s="76">
        <f>W14+W18</f>
        <v>0</v>
      </c>
      <c r="X13" s="76">
        <f>T13+U13+W13</f>
        <v>8129183.5</v>
      </c>
    </row>
    <row r="14" spans="1:24" ht="30.75" customHeight="1">
      <c r="A14" s="13"/>
      <c r="B14" s="13" t="s">
        <v>41</v>
      </c>
      <c r="C14" s="13"/>
      <c r="D14" s="13"/>
      <c r="E14" s="14" t="s">
        <v>42</v>
      </c>
      <c r="F14" s="15" t="s">
        <v>43</v>
      </c>
      <c r="G14" s="77">
        <f>G15</f>
        <v>6841959</v>
      </c>
      <c r="H14" s="77">
        <f>H15</f>
        <v>0</v>
      </c>
      <c r="I14" s="77">
        <f>I15</f>
        <v>0</v>
      </c>
      <c r="J14" s="77">
        <f>J15</f>
        <v>6841959</v>
      </c>
      <c r="L14" s="77">
        <f aca="true" t="shared" si="2" ref="L14:X14">L15</f>
        <v>0</v>
      </c>
      <c r="M14" s="77">
        <f t="shared" si="2"/>
        <v>0</v>
      </c>
      <c r="N14" s="77">
        <f t="shared" si="2"/>
        <v>6841959</v>
      </c>
      <c r="O14" s="77">
        <f t="shared" si="2"/>
        <v>0</v>
      </c>
      <c r="P14" s="77">
        <f t="shared" si="2"/>
        <v>6841959</v>
      </c>
      <c r="Q14" s="77">
        <f t="shared" si="2"/>
        <v>146363</v>
      </c>
      <c r="R14" s="77">
        <f t="shared" si="2"/>
        <v>0</v>
      </c>
      <c r="S14" s="77">
        <f t="shared" si="2"/>
        <v>6988322</v>
      </c>
      <c r="T14" s="77">
        <f t="shared" si="2"/>
        <v>0</v>
      </c>
      <c r="U14" s="77">
        <f t="shared" si="2"/>
        <v>6988322</v>
      </c>
      <c r="V14" s="77">
        <f t="shared" si="2"/>
        <v>0</v>
      </c>
      <c r="W14" s="77">
        <f t="shared" si="2"/>
        <v>0</v>
      </c>
      <c r="X14" s="77">
        <f t="shared" si="2"/>
        <v>6988322</v>
      </c>
    </row>
    <row r="15" spans="1:24" ht="32.25" customHeight="1">
      <c r="A15" s="16"/>
      <c r="B15" s="16"/>
      <c r="C15" s="16" t="s">
        <v>44</v>
      </c>
      <c r="D15" s="16"/>
      <c r="E15" s="17" t="s">
        <v>45</v>
      </c>
      <c r="F15" s="18" t="s">
        <v>46</v>
      </c>
      <c r="G15" s="78">
        <f>G16+G17</f>
        <v>6841959</v>
      </c>
      <c r="H15" s="78">
        <f>H16+H17</f>
        <v>0</v>
      </c>
      <c r="I15" s="78">
        <f>I16+I17</f>
        <v>0</v>
      </c>
      <c r="J15" s="78">
        <f>J16+J17</f>
        <v>6841959</v>
      </c>
      <c r="L15" s="78">
        <f>L16+L17</f>
        <v>0</v>
      </c>
      <c r="M15" s="78">
        <f>M16+M17</f>
        <v>0</v>
      </c>
      <c r="N15" s="78">
        <f>N16+N17</f>
        <v>6841959</v>
      </c>
      <c r="O15" s="78">
        <f>O16+O17</f>
        <v>0</v>
      </c>
      <c r="P15" s="78">
        <f>N15+O15</f>
        <v>6841959</v>
      </c>
      <c r="Q15" s="78">
        <f>Q16+Q17</f>
        <v>146363</v>
      </c>
      <c r="R15" s="78">
        <f>R16+R17</f>
        <v>0</v>
      </c>
      <c r="S15" s="78">
        <f>P15+Q15+R15</f>
        <v>6988322</v>
      </c>
      <c r="T15" s="78">
        <f>T16+T17</f>
        <v>0</v>
      </c>
      <c r="U15" s="78">
        <f>R15+S15+T15</f>
        <v>6988322</v>
      </c>
      <c r="V15" s="78">
        <f>V16+V17</f>
        <v>0</v>
      </c>
      <c r="W15" s="78">
        <f>W16+W17</f>
        <v>0</v>
      </c>
      <c r="X15" s="78">
        <f>T15+U15+W15</f>
        <v>6988322</v>
      </c>
    </row>
    <row r="16" spans="1:24" ht="37.5" hidden="1" outlineLevel="1">
      <c r="A16" s="19"/>
      <c r="B16" s="19"/>
      <c r="C16" s="19"/>
      <c r="D16" s="19" t="s">
        <v>41</v>
      </c>
      <c r="E16" s="20" t="s">
        <v>47</v>
      </c>
      <c r="F16" s="21" t="s">
        <v>48</v>
      </c>
      <c r="G16" s="75">
        <f>6799358+3233</f>
        <v>6802591</v>
      </c>
      <c r="H16" s="75"/>
      <c r="I16" s="75"/>
      <c r="J16" s="75">
        <f>G16+H16+I16</f>
        <v>6802591</v>
      </c>
      <c r="L16" s="75"/>
      <c r="M16" s="75"/>
      <c r="N16" s="75">
        <f>J16+L16+M16</f>
        <v>6802591</v>
      </c>
      <c r="O16" s="75"/>
      <c r="P16" s="75">
        <v>6802591</v>
      </c>
      <c r="Q16" s="75">
        <f>64098-1+540+25000+741.6+7341+0.4</f>
        <v>97720</v>
      </c>
      <c r="R16" s="75"/>
      <c r="S16" s="75">
        <f>P16+Q16+R16</f>
        <v>6900311</v>
      </c>
      <c r="T16" s="75"/>
      <c r="U16" s="75">
        <f>R16+S16+T16</f>
        <v>6900311</v>
      </c>
      <c r="V16" s="75"/>
      <c r="W16" s="75"/>
      <c r="X16" s="75">
        <f>T16+U16+W16</f>
        <v>6900311</v>
      </c>
    </row>
    <row r="17" spans="1:24" ht="47.25" customHeight="1" hidden="1" outlineLevel="1">
      <c r="A17" s="19"/>
      <c r="B17" s="19"/>
      <c r="C17" s="19"/>
      <c r="D17" s="19" t="s">
        <v>49</v>
      </c>
      <c r="E17" s="22" t="s">
        <v>50</v>
      </c>
      <c r="F17" s="21" t="s">
        <v>51</v>
      </c>
      <c r="G17" s="75">
        <v>39368</v>
      </c>
      <c r="H17" s="75"/>
      <c r="I17" s="75"/>
      <c r="J17" s="75">
        <f>G17+H17+I17</f>
        <v>39368</v>
      </c>
      <c r="L17" s="75"/>
      <c r="M17" s="75"/>
      <c r="N17" s="75">
        <f>J17+L17+M17</f>
        <v>39368</v>
      </c>
      <c r="O17" s="75"/>
      <c r="P17" s="75">
        <v>39368</v>
      </c>
      <c r="Q17" s="75">
        <v>48643</v>
      </c>
      <c r="R17" s="75"/>
      <c r="S17" s="75">
        <f>P17+Q17+R17</f>
        <v>88011</v>
      </c>
      <c r="T17" s="75"/>
      <c r="U17" s="75">
        <f>R17+S17+T17</f>
        <v>88011</v>
      </c>
      <c r="V17" s="75"/>
      <c r="W17" s="75"/>
      <c r="X17" s="75">
        <f>T17+U17+W17</f>
        <v>88011</v>
      </c>
    </row>
    <row r="18" spans="1:24" ht="37.5" customHeight="1" collapsed="1">
      <c r="A18" s="13"/>
      <c r="B18" s="13" t="s">
        <v>52</v>
      </c>
      <c r="C18" s="13"/>
      <c r="D18" s="13"/>
      <c r="E18" s="23" t="s">
        <v>290</v>
      </c>
      <c r="F18" s="15" t="s">
        <v>53</v>
      </c>
      <c r="G18" s="77">
        <f>G19</f>
        <v>774907</v>
      </c>
      <c r="H18" s="77">
        <f>H19</f>
        <v>135368.3</v>
      </c>
      <c r="I18" s="77">
        <f>I19</f>
        <v>0</v>
      </c>
      <c r="J18" s="77">
        <f>J19</f>
        <v>910275.3</v>
      </c>
      <c r="L18" s="77">
        <f aca="true" t="shared" si="3" ref="L18:X18">L19</f>
        <v>50000</v>
      </c>
      <c r="M18" s="77">
        <f t="shared" si="3"/>
        <v>0</v>
      </c>
      <c r="N18" s="77">
        <f t="shared" si="3"/>
        <v>960275.3</v>
      </c>
      <c r="O18" s="77">
        <f t="shared" si="3"/>
        <v>0</v>
      </c>
      <c r="P18" s="77">
        <f t="shared" si="3"/>
        <v>960275.3</v>
      </c>
      <c r="Q18" s="77">
        <f t="shared" si="3"/>
        <v>180586.2</v>
      </c>
      <c r="R18" s="77">
        <f t="shared" si="3"/>
        <v>0</v>
      </c>
      <c r="S18" s="77">
        <f t="shared" si="3"/>
        <v>1140861.5</v>
      </c>
      <c r="T18" s="77">
        <f t="shared" si="3"/>
        <v>0</v>
      </c>
      <c r="U18" s="77">
        <f t="shared" si="3"/>
        <v>1140861.5</v>
      </c>
      <c r="V18" s="77">
        <f t="shared" si="3"/>
        <v>0</v>
      </c>
      <c r="W18" s="77">
        <f t="shared" si="3"/>
        <v>0</v>
      </c>
      <c r="X18" s="77">
        <f t="shared" si="3"/>
        <v>1140861.5</v>
      </c>
    </row>
    <row r="19" spans="1:24" ht="40.5" customHeight="1">
      <c r="A19" s="16"/>
      <c r="B19" s="16"/>
      <c r="C19" s="16" t="s">
        <v>54</v>
      </c>
      <c r="D19" s="16"/>
      <c r="E19" s="24" t="s">
        <v>291</v>
      </c>
      <c r="F19" s="18" t="s">
        <v>55</v>
      </c>
      <c r="G19" s="78">
        <f>G20+G21+G22</f>
        <v>774907</v>
      </c>
      <c r="H19" s="78">
        <f>H20+H21+H22</f>
        <v>135368.3</v>
      </c>
      <c r="I19" s="78">
        <f>I20+I21+I22</f>
        <v>0</v>
      </c>
      <c r="J19" s="78">
        <f>J20+J21+J22</f>
        <v>910275.3</v>
      </c>
      <c r="L19" s="78">
        <f>L20+L21+L22</f>
        <v>50000</v>
      </c>
      <c r="M19" s="78">
        <f>M20+M21+M22</f>
        <v>0</v>
      </c>
      <c r="N19" s="78">
        <f>N20+N21+N22</f>
        <v>960275.3</v>
      </c>
      <c r="O19" s="78">
        <f>O20+O21+O22</f>
        <v>0</v>
      </c>
      <c r="P19" s="78">
        <f>N19+O19</f>
        <v>960275.3</v>
      </c>
      <c r="Q19" s="78">
        <f>Q20+Q21+Q22</f>
        <v>180586.2</v>
      </c>
      <c r="R19" s="78">
        <f>R20+R21+R22</f>
        <v>0</v>
      </c>
      <c r="S19" s="78">
        <f>P19+R19+Q19</f>
        <v>1140861.5</v>
      </c>
      <c r="T19" s="78">
        <f>T20+T21+T22</f>
        <v>0</v>
      </c>
      <c r="U19" s="78">
        <f>R19+T19+S19</f>
        <v>1140861.5</v>
      </c>
      <c r="V19" s="78">
        <f>V20+V21+V22</f>
        <v>0</v>
      </c>
      <c r="W19" s="78">
        <f>W20+W21+W22</f>
        <v>0</v>
      </c>
      <c r="X19" s="78">
        <f>T19+W19+U19</f>
        <v>1140861.5</v>
      </c>
    </row>
    <row r="20" spans="1:24" ht="38.25" customHeight="1" hidden="1" outlineLevel="1">
      <c r="A20" s="19"/>
      <c r="B20" s="19"/>
      <c r="C20" s="19"/>
      <c r="D20" s="19" t="s">
        <v>56</v>
      </c>
      <c r="E20" s="22" t="s">
        <v>57</v>
      </c>
      <c r="F20" s="21" t="s">
        <v>60</v>
      </c>
      <c r="G20" s="75">
        <v>4225</v>
      </c>
      <c r="H20" s="75"/>
      <c r="I20" s="75"/>
      <c r="J20" s="75">
        <f>G20+H20+I20</f>
        <v>4225</v>
      </c>
      <c r="L20" s="75"/>
      <c r="M20" s="75"/>
      <c r="N20" s="75">
        <f>J20+L20+M20</f>
        <v>4225</v>
      </c>
      <c r="O20" s="75"/>
      <c r="P20" s="75">
        <f>N20</f>
        <v>4225</v>
      </c>
      <c r="Q20" s="75">
        <v>8616</v>
      </c>
      <c r="R20" s="75"/>
      <c r="S20" s="75">
        <f>P20+Q20+R20</f>
        <v>12841</v>
      </c>
      <c r="T20" s="75"/>
      <c r="U20" s="75">
        <f>R20+S20+T20</f>
        <v>12841</v>
      </c>
      <c r="V20" s="75"/>
      <c r="W20" s="75"/>
      <c r="X20" s="75">
        <f>T20+U20+W20</f>
        <v>12841</v>
      </c>
    </row>
    <row r="21" spans="1:24" ht="28.5" customHeight="1" hidden="1" outlineLevel="1">
      <c r="A21" s="19"/>
      <c r="B21" s="19"/>
      <c r="C21" s="19"/>
      <c r="D21" s="19" t="s">
        <v>49</v>
      </c>
      <c r="E21" s="20" t="s">
        <v>73</v>
      </c>
      <c r="F21" s="21" t="s">
        <v>74</v>
      </c>
      <c r="G21" s="75">
        <v>59420</v>
      </c>
      <c r="H21" s="75"/>
      <c r="I21" s="75"/>
      <c r="J21" s="75">
        <f>G21+H21+I21</f>
        <v>59420</v>
      </c>
      <c r="L21" s="75"/>
      <c r="M21" s="75"/>
      <c r="N21" s="75">
        <f>J21+L21+M21</f>
        <v>59420</v>
      </c>
      <c r="O21" s="75"/>
      <c r="P21" s="75">
        <f>N21</f>
        <v>59420</v>
      </c>
      <c r="Q21" s="75"/>
      <c r="R21" s="75"/>
      <c r="S21" s="75">
        <f>P21+Q21+R21</f>
        <v>59420</v>
      </c>
      <c r="T21" s="75"/>
      <c r="U21" s="75">
        <f>R21+S21+T21</f>
        <v>59420</v>
      </c>
      <c r="V21" s="75"/>
      <c r="W21" s="75"/>
      <c r="X21" s="75">
        <f>T21+U21+W21</f>
        <v>59420</v>
      </c>
    </row>
    <row r="22" spans="1:24" ht="28.5" customHeight="1" hidden="1" outlineLevel="1">
      <c r="A22" s="19"/>
      <c r="B22" s="19"/>
      <c r="C22" s="19"/>
      <c r="D22" s="19" t="s">
        <v>75</v>
      </c>
      <c r="E22" s="20" t="s">
        <v>76</v>
      </c>
      <c r="F22" s="21" t="s">
        <v>77</v>
      </c>
      <c r="G22" s="75">
        <v>711262</v>
      </c>
      <c r="H22" s="97">
        <f>88876.8-10+96540-20000-30000-38.5</f>
        <v>135368.3</v>
      </c>
      <c r="I22" s="75"/>
      <c r="J22" s="75">
        <f>G22+H22+I22</f>
        <v>846630.3</v>
      </c>
      <c r="L22" s="97">
        <v>50000</v>
      </c>
      <c r="M22" s="75"/>
      <c r="N22" s="75">
        <f>J22+L22+M22</f>
        <v>896630.3</v>
      </c>
      <c r="O22" s="97"/>
      <c r="P22" s="75">
        <f>N22</f>
        <v>896630.3</v>
      </c>
      <c r="Q22" s="80">
        <f>171970+0.6-0.4</f>
        <v>171970.2</v>
      </c>
      <c r="R22" s="75"/>
      <c r="S22" s="75">
        <f>P22+Q22+R22</f>
        <v>1068600.5</v>
      </c>
      <c r="T22" s="80"/>
      <c r="U22" s="75">
        <f>R22+S22+T22</f>
        <v>1068600.5</v>
      </c>
      <c r="V22" s="80"/>
      <c r="W22" s="80"/>
      <c r="X22" s="75">
        <f>T22+U22+W22</f>
        <v>1068600.5</v>
      </c>
    </row>
    <row r="23" spans="1:24" s="12" customFormat="1" ht="27" customHeight="1" collapsed="1">
      <c r="A23" s="9" t="s">
        <v>44</v>
      </c>
      <c r="B23" s="9"/>
      <c r="C23" s="9"/>
      <c r="D23" s="9"/>
      <c r="E23" s="10" t="s">
        <v>78</v>
      </c>
      <c r="F23" s="11" t="s">
        <v>79</v>
      </c>
      <c r="G23" s="76">
        <f>G24+G35+G38+G41+G47</f>
        <v>42450</v>
      </c>
      <c r="H23" s="76">
        <f>H24+H35+H38+H41+H47</f>
        <v>8130.3</v>
      </c>
      <c r="I23" s="76">
        <f>I24+I35+I38+I41+I47</f>
        <v>0</v>
      </c>
      <c r="J23" s="76">
        <f>J24+J35+J38+J41+J47</f>
        <v>50580.3</v>
      </c>
      <c r="L23" s="76">
        <f aca="true" t="shared" si="4" ref="L23:S23">L24+L35+L38+L41+L47</f>
        <v>0</v>
      </c>
      <c r="M23" s="76">
        <f t="shared" si="4"/>
        <v>0</v>
      </c>
      <c r="N23" s="76">
        <f t="shared" si="4"/>
        <v>50580.3</v>
      </c>
      <c r="O23" s="76">
        <f t="shared" si="4"/>
        <v>0</v>
      </c>
      <c r="P23" s="76">
        <f t="shared" si="4"/>
        <v>50580.3</v>
      </c>
      <c r="Q23" s="76">
        <f t="shared" si="4"/>
        <v>6853</v>
      </c>
      <c r="R23" s="76">
        <f t="shared" si="4"/>
        <v>0</v>
      </c>
      <c r="S23" s="76">
        <f t="shared" si="4"/>
        <v>57433.3</v>
      </c>
      <c r="T23" s="76">
        <f>T24+T35+T38+T41+T47</f>
        <v>0</v>
      </c>
      <c r="U23" s="76">
        <f>U24+U35+U38+U41+U47</f>
        <v>57433.3</v>
      </c>
      <c r="V23" s="76">
        <f>V24+V35+V38+V41+V47</f>
        <v>0</v>
      </c>
      <c r="W23" s="76">
        <f>W24+W35+W38+W41+W47</f>
        <v>0</v>
      </c>
      <c r="X23" s="76">
        <f>X24+X35+X38+X41+X47</f>
        <v>57433.3</v>
      </c>
    </row>
    <row r="24" spans="1:24" ht="28.5" customHeight="1">
      <c r="A24" s="13"/>
      <c r="B24" s="13" t="s">
        <v>41</v>
      </c>
      <c r="C24" s="13"/>
      <c r="D24" s="13"/>
      <c r="E24" s="14" t="s">
        <v>292</v>
      </c>
      <c r="F24" s="15" t="s">
        <v>80</v>
      </c>
      <c r="G24" s="77">
        <f>G27+G31+G25</f>
        <v>36274</v>
      </c>
      <c r="H24" s="77">
        <f>H27+H31+H25</f>
        <v>0</v>
      </c>
      <c r="I24" s="77">
        <f>I27+I31+I25</f>
        <v>0</v>
      </c>
      <c r="J24" s="77">
        <f>J27+J31+J25</f>
        <v>36274</v>
      </c>
      <c r="L24" s="77">
        <f>L27+L31+L25</f>
        <v>0</v>
      </c>
      <c r="M24" s="77">
        <f>M27+M31+M25</f>
        <v>0</v>
      </c>
      <c r="N24" s="77">
        <f>N27+N31+N25</f>
        <v>36274</v>
      </c>
      <c r="O24" s="77">
        <f>O27+O31+O25</f>
        <v>0</v>
      </c>
      <c r="P24" s="77">
        <f>P27+P31+P25</f>
        <v>36274</v>
      </c>
      <c r="Q24" s="77">
        <f aca="true" t="shared" si="5" ref="Q24:X24">Q27+Q31+Q25+Q29</f>
        <v>5390</v>
      </c>
      <c r="R24" s="77">
        <f t="shared" si="5"/>
        <v>0</v>
      </c>
      <c r="S24" s="77">
        <f t="shared" si="5"/>
        <v>41664</v>
      </c>
      <c r="T24" s="77">
        <f t="shared" si="5"/>
        <v>0</v>
      </c>
      <c r="U24" s="77">
        <f t="shared" si="5"/>
        <v>41664</v>
      </c>
      <c r="V24" s="77">
        <f t="shared" si="5"/>
        <v>0</v>
      </c>
      <c r="W24" s="77">
        <f t="shared" si="5"/>
        <v>0</v>
      </c>
      <c r="X24" s="77">
        <f t="shared" si="5"/>
        <v>41664</v>
      </c>
    </row>
    <row r="25" spans="1:24" s="25" customFormat="1" ht="39" customHeight="1">
      <c r="A25" s="16"/>
      <c r="B25" s="16"/>
      <c r="C25" s="16" t="s">
        <v>38</v>
      </c>
      <c r="D25" s="16"/>
      <c r="E25" s="24" t="s">
        <v>81</v>
      </c>
      <c r="F25" s="18" t="s">
        <v>82</v>
      </c>
      <c r="G25" s="78">
        <f>G26</f>
        <v>25</v>
      </c>
      <c r="H25" s="78">
        <f>H26</f>
        <v>0</v>
      </c>
      <c r="I25" s="78">
        <f>I26</f>
        <v>0</v>
      </c>
      <c r="J25" s="78">
        <f>J26</f>
        <v>25</v>
      </c>
      <c r="L25" s="78">
        <f aca="true" t="shared" si="6" ref="L25:X25">L26</f>
        <v>0</v>
      </c>
      <c r="M25" s="78">
        <f t="shared" si="6"/>
        <v>0</v>
      </c>
      <c r="N25" s="78">
        <f t="shared" si="6"/>
        <v>25</v>
      </c>
      <c r="O25" s="78">
        <f t="shared" si="6"/>
        <v>0</v>
      </c>
      <c r="P25" s="78">
        <f t="shared" si="6"/>
        <v>25</v>
      </c>
      <c r="Q25" s="78">
        <f t="shared" si="6"/>
        <v>4807</v>
      </c>
      <c r="R25" s="78">
        <f t="shared" si="6"/>
        <v>0</v>
      </c>
      <c r="S25" s="78">
        <f t="shared" si="6"/>
        <v>4832</v>
      </c>
      <c r="T25" s="78">
        <f t="shared" si="6"/>
        <v>0</v>
      </c>
      <c r="U25" s="78">
        <f t="shared" si="6"/>
        <v>4832</v>
      </c>
      <c r="V25" s="78">
        <f t="shared" si="6"/>
        <v>0</v>
      </c>
      <c r="W25" s="78">
        <f t="shared" si="6"/>
        <v>0</v>
      </c>
      <c r="X25" s="78">
        <f t="shared" si="6"/>
        <v>4832</v>
      </c>
    </row>
    <row r="26" spans="1:24" s="25" customFormat="1" ht="40.5" customHeight="1" hidden="1" outlineLevel="1">
      <c r="A26" s="26"/>
      <c r="B26" s="26"/>
      <c r="C26" s="26"/>
      <c r="D26" s="26" t="s">
        <v>83</v>
      </c>
      <c r="E26" s="27" t="s">
        <v>84</v>
      </c>
      <c r="F26" s="28" t="s">
        <v>85</v>
      </c>
      <c r="G26" s="79">
        <v>25</v>
      </c>
      <c r="H26" s="79"/>
      <c r="I26" s="79"/>
      <c r="J26" s="79">
        <f>G26+H26+I26</f>
        <v>25</v>
      </c>
      <c r="L26" s="79"/>
      <c r="M26" s="79"/>
      <c r="N26" s="75">
        <f>J26+L26+M26</f>
        <v>25</v>
      </c>
      <c r="O26" s="79"/>
      <c r="P26" s="78">
        <f aca="true" t="shared" si="7" ref="P26:P31">N26+O26</f>
        <v>25</v>
      </c>
      <c r="Q26" s="79">
        <v>4807</v>
      </c>
      <c r="R26" s="79"/>
      <c r="S26" s="78">
        <f>P26+Q26+R26</f>
        <v>4832</v>
      </c>
      <c r="T26" s="79"/>
      <c r="U26" s="78">
        <f>R26+S26+T26</f>
        <v>4832</v>
      </c>
      <c r="V26" s="79"/>
      <c r="W26" s="79"/>
      <c r="X26" s="78">
        <f>T26+U26+W26</f>
        <v>4832</v>
      </c>
    </row>
    <row r="27" spans="1:24" ht="41.25" customHeight="1" collapsed="1">
      <c r="A27" s="16"/>
      <c r="B27" s="16"/>
      <c r="C27" s="16" t="s">
        <v>86</v>
      </c>
      <c r="D27" s="16"/>
      <c r="E27" s="24" t="s">
        <v>87</v>
      </c>
      <c r="F27" s="18" t="s">
        <v>88</v>
      </c>
      <c r="G27" s="78">
        <f>G28</f>
        <v>19653</v>
      </c>
      <c r="H27" s="78">
        <f>H28</f>
        <v>0</v>
      </c>
      <c r="I27" s="78">
        <f>I28</f>
        <v>0</v>
      </c>
      <c r="J27" s="78">
        <f>J28</f>
        <v>19653</v>
      </c>
      <c r="L27" s="78">
        <f aca="true" t="shared" si="8" ref="L27:X27">L28</f>
        <v>0</v>
      </c>
      <c r="M27" s="78">
        <f t="shared" si="8"/>
        <v>0</v>
      </c>
      <c r="N27" s="78">
        <f t="shared" si="8"/>
        <v>19653</v>
      </c>
      <c r="O27" s="78">
        <f t="shared" si="8"/>
        <v>0</v>
      </c>
      <c r="P27" s="78">
        <f t="shared" si="8"/>
        <v>19653</v>
      </c>
      <c r="Q27" s="78">
        <f t="shared" si="8"/>
        <v>0</v>
      </c>
      <c r="R27" s="78">
        <f t="shared" si="8"/>
        <v>0</v>
      </c>
      <c r="S27" s="78">
        <f t="shared" si="8"/>
        <v>19653</v>
      </c>
      <c r="T27" s="78">
        <f t="shared" si="8"/>
        <v>0</v>
      </c>
      <c r="U27" s="78">
        <f t="shared" si="8"/>
        <v>19653</v>
      </c>
      <c r="V27" s="78">
        <f t="shared" si="8"/>
        <v>0</v>
      </c>
      <c r="W27" s="78">
        <f t="shared" si="8"/>
        <v>0</v>
      </c>
      <c r="X27" s="78">
        <f t="shared" si="8"/>
        <v>19653</v>
      </c>
    </row>
    <row r="28" spans="1:24" ht="40.5" customHeight="1" hidden="1">
      <c r="A28" s="19"/>
      <c r="B28" s="19"/>
      <c r="C28" s="19"/>
      <c r="D28" s="19" t="s">
        <v>49</v>
      </c>
      <c r="E28" s="20" t="s">
        <v>89</v>
      </c>
      <c r="F28" s="21" t="s">
        <v>90</v>
      </c>
      <c r="G28" s="75">
        <v>19653</v>
      </c>
      <c r="H28" s="75"/>
      <c r="I28" s="75"/>
      <c r="J28" s="75">
        <f>G28+H28+I28</f>
        <v>19653</v>
      </c>
      <c r="L28" s="75"/>
      <c r="M28" s="75"/>
      <c r="N28" s="75">
        <f>J28+L28+M28</f>
        <v>19653</v>
      </c>
      <c r="O28" s="75"/>
      <c r="P28" s="78">
        <f t="shared" si="7"/>
        <v>19653</v>
      </c>
      <c r="Q28" s="75"/>
      <c r="R28" s="75"/>
      <c r="S28" s="78">
        <f>P28+Q28+R28</f>
        <v>19653</v>
      </c>
      <c r="T28" s="75"/>
      <c r="U28" s="78">
        <f>R28+S28+T28</f>
        <v>19653</v>
      </c>
      <c r="V28" s="75"/>
      <c r="W28" s="75"/>
      <c r="X28" s="78">
        <f>T28+U28+W28</f>
        <v>19653</v>
      </c>
    </row>
    <row r="29" spans="1:24" ht="41.25" customHeight="1">
      <c r="A29" s="16"/>
      <c r="B29" s="16"/>
      <c r="C29" s="16" t="s">
        <v>91</v>
      </c>
      <c r="D29" s="16"/>
      <c r="E29" s="18" t="s">
        <v>197</v>
      </c>
      <c r="F29" s="18" t="s">
        <v>289</v>
      </c>
      <c r="G29" s="78"/>
      <c r="H29" s="78"/>
      <c r="I29" s="78"/>
      <c r="J29" s="78"/>
      <c r="L29" s="78"/>
      <c r="M29" s="78"/>
      <c r="N29" s="78"/>
      <c r="O29" s="78"/>
      <c r="P29" s="78">
        <f aca="true" t="shared" si="9" ref="P29:X29">P30</f>
        <v>0</v>
      </c>
      <c r="Q29" s="78">
        <f t="shared" si="9"/>
        <v>583</v>
      </c>
      <c r="R29" s="78">
        <f t="shared" si="9"/>
        <v>0</v>
      </c>
      <c r="S29" s="78">
        <f t="shared" si="9"/>
        <v>583</v>
      </c>
      <c r="T29" s="78">
        <f t="shared" si="9"/>
        <v>0</v>
      </c>
      <c r="U29" s="78">
        <f t="shared" si="9"/>
        <v>583</v>
      </c>
      <c r="V29" s="78">
        <f t="shared" si="9"/>
        <v>0</v>
      </c>
      <c r="W29" s="78">
        <f t="shared" si="9"/>
        <v>0</v>
      </c>
      <c r="X29" s="78">
        <f t="shared" si="9"/>
        <v>583</v>
      </c>
    </row>
    <row r="30" spans="1:24" ht="40.5" customHeight="1" hidden="1">
      <c r="A30" s="19"/>
      <c r="B30" s="19"/>
      <c r="C30" s="19"/>
      <c r="D30" s="19" t="s">
        <v>83</v>
      </c>
      <c r="E30" s="20"/>
      <c r="F30" s="21" t="s">
        <v>92</v>
      </c>
      <c r="G30" s="75"/>
      <c r="H30" s="75"/>
      <c r="I30" s="75"/>
      <c r="J30" s="75"/>
      <c r="L30" s="75"/>
      <c r="M30" s="75"/>
      <c r="N30" s="75">
        <f>J30+L30+M30</f>
        <v>0</v>
      </c>
      <c r="O30" s="75"/>
      <c r="P30" s="78">
        <f t="shared" si="7"/>
        <v>0</v>
      </c>
      <c r="Q30" s="75">
        <v>583</v>
      </c>
      <c r="R30" s="75"/>
      <c r="S30" s="78">
        <f>Q30+R30</f>
        <v>583</v>
      </c>
      <c r="T30" s="75"/>
      <c r="U30" s="78">
        <f>S30+T30</f>
        <v>583</v>
      </c>
      <c r="V30" s="75"/>
      <c r="W30" s="75"/>
      <c r="X30" s="78">
        <f>U30+W30</f>
        <v>583</v>
      </c>
    </row>
    <row r="31" spans="1:24" ht="39.75" customHeight="1">
      <c r="A31" s="16"/>
      <c r="B31" s="16"/>
      <c r="C31" s="16" t="s">
        <v>93</v>
      </c>
      <c r="D31" s="16"/>
      <c r="E31" s="24" t="s">
        <v>94</v>
      </c>
      <c r="F31" s="18" t="s">
        <v>95</v>
      </c>
      <c r="G31" s="78">
        <f>G32+G33+G34</f>
        <v>16596</v>
      </c>
      <c r="H31" s="78">
        <f>H32+H33+H34</f>
        <v>0</v>
      </c>
      <c r="I31" s="78">
        <f>I32+I33+I34</f>
        <v>0</v>
      </c>
      <c r="J31" s="78">
        <f>J32+J33+J34</f>
        <v>16596</v>
      </c>
      <c r="L31" s="78">
        <f>L32+L33+L34</f>
        <v>0</v>
      </c>
      <c r="M31" s="78">
        <f>M32+M33+M34</f>
        <v>0</v>
      </c>
      <c r="N31" s="78">
        <f>N32+N33+N34</f>
        <v>16596</v>
      </c>
      <c r="O31" s="78">
        <f>O32+O33+O34</f>
        <v>0</v>
      </c>
      <c r="P31" s="78">
        <f t="shared" si="7"/>
        <v>16596</v>
      </c>
      <c r="Q31" s="78">
        <f>Q32+Q33+Q34</f>
        <v>0</v>
      </c>
      <c r="R31" s="78">
        <f>R32+R33+R34</f>
        <v>0</v>
      </c>
      <c r="S31" s="78">
        <f>P31+Q31+R31</f>
        <v>16596</v>
      </c>
      <c r="T31" s="78">
        <f>T32+T33+T34</f>
        <v>0</v>
      </c>
      <c r="U31" s="78">
        <f>R31+S31+T31</f>
        <v>16596</v>
      </c>
      <c r="V31" s="78">
        <f>V32+V33+V34</f>
        <v>0</v>
      </c>
      <c r="W31" s="78">
        <f>W32+W33+W34</f>
        <v>0</v>
      </c>
      <c r="X31" s="78">
        <f>T31+U31+W31</f>
        <v>16596</v>
      </c>
    </row>
    <row r="32" spans="1:24" ht="41.25" customHeight="1" hidden="1" outlineLevel="1">
      <c r="A32" s="19"/>
      <c r="B32" s="19"/>
      <c r="C32" s="19"/>
      <c r="D32" s="19" t="s">
        <v>96</v>
      </c>
      <c r="E32" s="22" t="s">
        <v>97</v>
      </c>
      <c r="F32" s="21" t="s">
        <v>98</v>
      </c>
      <c r="G32" s="75">
        <f>16693-97</f>
        <v>16596</v>
      </c>
      <c r="H32" s="75"/>
      <c r="I32" s="75"/>
      <c r="J32" s="75">
        <f>G32+H32+I32</f>
        <v>16596</v>
      </c>
      <c r="L32" s="75"/>
      <c r="M32" s="75"/>
      <c r="N32" s="75">
        <f>J32+L32+M32</f>
        <v>16596</v>
      </c>
      <c r="O32" s="75"/>
      <c r="P32" s="75"/>
      <c r="Q32" s="75"/>
      <c r="R32" s="75"/>
      <c r="S32" s="75"/>
      <c r="T32" s="75"/>
      <c r="U32" s="75"/>
      <c r="V32" s="75"/>
      <c r="W32" s="75"/>
      <c r="X32" s="75"/>
    </row>
    <row r="33" spans="1:24" ht="37.5" hidden="1" outlineLevel="1">
      <c r="A33" s="19"/>
      <c r="B33" s="19"/>
      <c r="C33" s="19"/>
      <c r="D33" s="19" t="s">
        <v>99</v>
      </c>
      <c r="E33" s="20"/>
      <c r="F33" s="21" t="s">
        <v>100</v>
      </c>
      <c r="G33" s="75"/>
      <c r="H33" s="75"/>
      <c r="I33" s="75"/>
      <c r="J33" s="75"/>
      <c r="L33" s="75"/>
      <c r="M33" s="75"/>
      <c r="N33" s="75">
        <f>J33+L33+M33</f>
        <v>0</v>
      </c>
      <c r="O33" s="75"/>
      <c r="P33" s="75"/>
      <c r="Q33" s="75"/>
      <c r="R33" s="75"/>
      <c r="S33" s="75"/>
      <c r="T33" s="75"/>
      <c r="U33" s="75"/>
      <c r="V33" s="75"/>
      <c r="W33" s="75"/>
      <c r="X33" s="75"/>
    </row>
    <row r="34" spans="1:24" ht="37.5" hidden="1" outlineLevel="1">
      <c r="A34" s="19"/>
      <c r="B34" s="19"/>
      <c r="C34" s="19"/>
      <c r="D34" s="19" t="s">
        <v>101</v>
      </c>
      <c r="E34" s="20"/>
      <c r="F34" s="21" t="s">
        <v>102</v>
      </c>
      <c r="G34" s="75"/>
      <c r="H34" s="75"/>
      <c r="I34" s="75"/>
      <c r="J34" s="75"/>
      <c r="L34" s="75"/>
      <c r="M34" s="75"/>
      <c r="N34" s="75">
        <f>J34+L34+M34</f>
        <v>0</v>
      </c>
      <c r="O34" s="75"/>
      <c r="P34" s="75"/>
      <c r="Q34" s="75"/>
      <c r="R34" s="75"/>
      <c r="S34" s="75"/>
      <c r="T34" s="75"/>
      <c r="U34" s="75"/>
      <c r="V34" s="75"/>
      <c r="W34" s="75"/>
      <c r="X34" s="75"/>
    </row>
    <row r="35" spans="1:24" ht="62.25" customHeight="1" collapsed="1">
      <c r="A35" s="13"/>
      <c r="B35" s="13" t="s">
        <v>83</v>
      </c>
      <c r="C35" s="13"/>
      <c r="D35" s="13"/>
      <c r="E35" s="23" t="s">
        <v>103</v>
      </c>
      <c r="F35" s="15" t="s">
        <v>105</v>
      </c>
      <c r="G35" s="77">
        <f aca="true" t="shared" si="10" ref="G35:W36">G36</f>
        <v>2576</v>
      </c>
      <c r="H35" s="77">
        <f t="shared" si="10"/>
        <v>0</v>
      </c>
      <c r="I35" s="77">
        <f t="shared" si="10"/>
        <v>0</v>
      </c>
      <c r="J35" s="77">
        <f t="shared" si="10"/>
        <v>2576</v>
      </c>
      <c r="L35" s="77">
        <f t="shared" si="10"/>
        <v>0</v>
      </c>
      <c r="M35" s="77">
        <f t="shared" si="10"/>
        <v>0</v>
      </c>
      <c r="N35" s="77">
        <f t="shared" si="10"/>
        <v>2576</v>
      </c>
      <c r="O35" s="77">
        <f t="shared" si="10"/>
        <v>0</v>
      </c>
      <c r="P35" s="77">
        <f>N35+O35</f>
        <v>2576</v>
      </c>
      <c r="Q35" s="77">
        <f t="shared" si="10"/>
        <v>0</v>
      </c>
      <c r="R35" s="77">
        <f t="shared" si="10"/>
        <v>0</v>
      </c>
      <c r="S35" s="77">
        <f>P35+Q35+R35</f>
        <v>2576</v>
      </c>
      <c r="T35" s="77">
        <f t="shared" si="10"/>
        <v>0</v>
      </c>
      <c r="U35" s="77">
        <f>R35+S35+T35</f>
        <v>2576</v>
      </c>
      <c r="V35" s="77">
        <f t="shared" si="10"/>
        <v>0</v>
      </c>
      <c r="W35" s="77">
        <f t="shared" si="10"/>
        <v>0</v>
      </c>
      <c r="X35" s="77">
        <f>T35+U35+W35</f>
        <v>2576</v>
      </c>
    </row>
    <row r="36" spans="1:24" ht="59.25" customHeight="1">
      <c r="A36" s="16"/>
      <c r="B36" s="16"/>
      <c r="C36" s="16" t="s">
        <v>38</v>
      </c>
      <c r="D36" s="16"/>
      <c r="E36" s="24" t="s">
        <v>103</v>
      </c>
      <c r="F36" s="18" t="s">
        <v>105</v>
      </c>
      <c r="G36" s="78">
        <f t="shared" si="10"/>
        <v>2576</v>
      </c>
      <c r="H36" s="78">
        <f t="shared" si="10"/>
        <v>0</v>
      </c>
      <c r="I36" s="78">
        <f t="shared" si="10"/>
        <v>0</v>
      </c>
      <c r="J36" s="78">
        <f t="shared" si="10"/>
        <v>2576</v>
      </c>
      <c r="L36" s="78">
        <f t="shared" si="10"/>
        <v>0</v>
      </c>
      <c r="M36" s="78">
        <f t="shared" si="10"/>
        <v>0</v>
      </c>
      <c r="N36" s="78">
        <f t="shared" si="10"/>
        <v>2576</v>
      </c>
      <c r="O36" s="78">
        <f t="shared" si="10"/>
        <v>0</v>
      </c>
      <c r="P36" s="78">
        <f>N36+O36</f>
        <v>2576</v>
      </c>
      <c r="Q36" s="78">
        <f t="shared" si="10"/>
        <v>0</v>
      </c>
      <c r="R36" s="78">
        <f t="shared" si="10"/>
        <v>0</v>
      </c>
      <c r="S36" s="78">
        <f>P36+Q36+R36</f>
        <v>2576</v>
      </c>
      <c r="T36" s="78">
        <f t="shared" si="10"/>
        <v>0</v>
      </c>
      <c r="U36" s="78">
        <f>R36+S36+T36</f>
        <v>2576</v>
      </c>
      <c r="V36" s="78">
        <f t="shared" si="10"/>
        <v>0</v>
      </c>
      <c r="W36" s="78">
        <f t="shared" si="10"/>
        <v>0</v>
      </c>
      <c r="X36" s="78">
        <f>T36+U36+W36</f>
        <v>2576</v>
      </c>
    </row>
    <row r="37" spans="1:24" ht="56.25" hidden="1" outlineLevel="1">
      <c r="A37" s="19"/>
      <c r="B37" s="19"/>
      <c r="C37" s="19"/>
      <c r="D37" s="19" t="s">
        <v>83</v>
      </c>
      <c r="E37" s="27" t="s">
        <v>106</v>
      </c>
      <c r="F37" s="21" t="s">
        <v>107</v>
      </c>
      <c r="G37" s="75">
        <v>2576</v>
      </c>
      <c r="H37" s="75"/>
      <c r="I37" s="75"/>
      <c r="J37" s="75">
        <f>G37+H37+I37</f>
        <v>2576</v>
      </c>
      <c r="L37" s="75"/>
      <c r="M37" s="75"/>
      <c r="N37" s="75">
        <f>J37+L37+M37</f>
        <v>2576</v>
      </c>
      <c r="O37" s="75"/>
      <c r="P37" s="75"/>
      <c r="Q37" s="75"/>
      <c r="R37" s="75"/>
      <c r="S37" s="75"/>
      <c r="T37" s="75"/>
      <c r="U37" s="75"/>
      <c r="V37" s="75"/>
      <c r="W37" s="75"/>
      <c r="X37" s="75"/>
    </row>
    <row r="38" spans="1:24" ht="58.5" customHeight="1" collapsed="1">
      <c r="A38" s="13"/>
      <c r="B38" s="13" t="s">
        <v>56</v>
      </c>
      <c r="C38" s="13"/>
      <c r="D38" s="13"/>
      <c r="E38" s="23" t="s">
        <v>355</v>
      </c>
      <c r="F38" s="15" t="s">
        <v>216</v>
      </c>
      <c r="G38" s="77">
        <f aca="true" t="shared" si="11" ref="G38:W39">G39</f>
        <v>113</v>
      </c>
      <c r="H38" s="77">
        <f t="shared" si="11"/>
        <v>0</v>
      </c>
      <c r="I38" s="77">
        <f t="shared" si="11"/>
        <v>0</v>
      </c>
      <c r="J38" s="77">
        <f t="shared" si="11"/>
        <v>113</v>
      </c>
      <c r="L38" s="77">
        <f t="shared" si="11"/>
        <v>0</v>
      </c>
      <c r="M38" s="77">
        <f t="shared" si="11"/>
        <v>0</v>
      </c>
      <c r="N38" s="77">
        <f t="shared" si="11"/>
        <v>113</v>
      </c>
      <c r="O38" s="77">
        <f t="shared" si="11"/>
        <v>0</v>
      </c>
      <c r="P38" s="77">
        <f t="shared" si="11"/>
        <v>113</v>
      </c>
      <c r="Q38" s="77">
        <f t="shared" si="11"/>
        <v>0</v>
      </c>
      <c r="R38" s="77">
        <f t="shared" si="11"/>
        <v>0</v>
      </c>
      <c r="S38" s="77">
        <f>P38+Q38+R38</f>
        <v>113</v>
      </c>
      <c r="T38" s="77">
        <f t="shared" si="11"/>
        <v>0</v>
      </c>
      <c r="U38" s="77">
        <f>R38+S38+T38</f>
        <v>113</v>
      </c>
      <c r="V38" s="77">
        <f t="shared" si="11"/>
        <v>0</v>
      </c>
      <c r="W38" s="77">
        <f t="shared" si="11"/>
        <v>0</v>
      </c>
      <c r="X38" s="77">
        <f>T38+U38+W38</f>
        <v>113</v>
      </c>
    </row>
    <row r="39" spans="1:24" ht="75">
      <c r="A39" s="16"/>
      <c r="B39" s="16"/>
      <c r="C39" s="16" t="s">
        <v>38</v>
      </c>
      <c r="D39" s="16"/>
      <c r="E39" s="24" t="s">
        <v>355</v>
      </c>
      <c r="F39" s="18" t="s">
        <v>216</v>
      </c>
      <c r="G39" s="78">
        <f t="shared" si="11"/>
        <v>113</v>
      </c>
      <c r="H39" s="78">
        <f t="shared" si="11"/>
        <v>0</v>
      </c>
      <c r="I39" s="78">
        <f t="shared" si="11"/>
        <v>0</v>
      </c>
      <c r="J39" s="78">
        <f t="shared" si="11"/>
        <v>113</v>
      </c>
      <c r="L39" s="78">
        <f t="shared" si="11"/>
        <v>0</v>
      </c>
      <c r="M39" s="78">
        <f t="shared" si="11"/>
        <v>0</v>
      </c>
      <c r="N39" s="78">
        <f t="shared" si="11"/>
        <v>113</v>
      </c>
      <c r="O39" s="78">
        <f t="shared" si="11"/>
        <v>0</v>
      </c>
      <c r="P39" s="78">
        <f>N39+O39</f>
        <v>113</v>
      </c>
      <c r="Q39" s="78">
        <f t="shared" si="11"/>
        <v>0</v>
      </c>
      <c r="R39" s="78">
        <f t="shared" si="11"/>
        <v>0</v>
      </c>
      <c r="S39" s="78">
        <f>P39+Q39+R39</f>
        <v>113</v>
      </c>
      <c r="T39" s="78">
        <f t="shared" si="11"/>
        <v>0</v>
      </c>
      <c r="U39" s="78">
        <f>R39+S39+T39</f>
        <v>113</v>
      </c>
      <c r="V39" s="78">
        <f t="shared" si="11"/>
        <v>0</v>
      </c>
      <c r="W39" s="78">
        <f t="shared" si="11"/>
        <v>0</v>
      </c>
      <c r="X39" s="78">
        <f>T39+U39+W39</f>
        <v>113</v>
      </c>
    </row>
    <row r="40" spans="1:24" ht="56.25" hidden="1" outlineLevel="1">
      <c r="A40" s="19"/>
      <c r="B40" s="19"/>
      <c r="C40" s="19"/>
      <c r="D40" s="19" t="s">
        <v>83</v>
      </c>
      <c r="E40" s="27" t="s">
        <v>217</v>
      </c>
      <c r="F40" s="21" t="s">
        <v>218</v>
      </c>
      <c r="G40" s="75">
        <v>113</v>
      </c>
      <c r="H40" s="75"/>
      <c r="I40" s="75"/>
      <c r="J40" s="75">
        <f>G40+H40+I40</f>
        <v>113</v>
      </c>
      <c r="L40" s="75"/>
      <c r="M40" s="75"/>
      <c r="N40" s="75">
        <f>J40+L40+M40</f>
        <v>113</v>
      </c>
      <c r="O40" s="75"/>
      <c r="P40" s="75"/>
      <c r="Q40" s="75"/>
      <c r="R40" s="75"/>
      <c r="S40" s="75"/>
      <c r="T40" s="75"/>
      <c r="U40" s="75"/>
      <c r="V40" s="75"/>
      <c r="W40" s="75"/>
      <c r="X40" s="75"/>
    </row>
    <row r="41" spans="1:24" ht="99" customHeight="1" collapsed="1">
      <c r="A41" s="13"/>
      <c r="B41" s="13" t="s">
        <v>49</v>
      </c>
      <c r="C41" s="13"/>
      <c r="D41" s="13"/>
      <c r="E41" s="23" t="s">
        <v>293</v>
      </c>
      <c r="F41" s="15" t="s">
        <v>286</v>
      </c>
      <c r="G41" s="77">
        <f>G42</f>
        <v>3045</v>
      </c>
      <c r="H41" s="77">
        <f>H42</f>
        <v>8130.3</v>
      </c>
      <c r="I41" s="77">
        <f>I42</f>
        <v>0</v>
      </c>
      <c r="J41" s="77">
        <f>J42</f>
        <v>11175.3</v>
      </c>
      <c r="L41" s="77">
        <f aca="true" t="shared" si="12" ref="L41:W41">L42</f>
        <v>0</v>
      </c>
      <c r="M41" s="77">
        <f t="shared" si="12"/>
        <v>0</v>
      </c>
      <c r="N41" s="77">
        <f t="shared" si="12"/>
        <v>11175.3</v>
      </c>
      <c r="O41" s="77">
        <f t="shared" si="12"/>
        <v>0</v>
      </c>
      <c r="P41" s="77">
        <f t="shared" si="12"/>
        <v>11175.3</v>
      </c>
      <c r="Q41" s="77">
        <f t="shared" si="12"/>
        <v>663</v>
      </c>
      <c r="R41" s="77">
        <f t="shared" si="12"/>
        <v>0</v>
      </c>
      <c r="S41" s="77">
        <f>P41+Q41+R41</f>
        <v>11838.3</v>
      </c>
      <c r="T41" s="77">
        <f t="shared" si="12"/>
        <v>0</v>
      </c>
      <c r="U41" s="77">
        <f>R41+S41+T41</f>
        <v>11838.3</v>
      </c>
      <c r="V41" s="77">
        <f t="shared" si="12"/>
        <v>0</v>
      </c>
      <c r="W41" s="77">
        <f t="shared" si="12"/>
        <v>0</v>
      </c>
      <c r="X41" s="77">
        <f>T41+U41+W41</f>
        <v>11838.3</v>
      </c>
    </row>
    <row r="42" spans="1:24" ht="112.5" customHeight="1">
      <c r="A42" s="16"/>
      <c r="B42" s="16"/>
      <c r="C42" s="16" t="s">
        <v>38</v>
      </c>
      <c r="D42" s="16"/>
      <c r="E42" s="18" t="s">
        <v>294</v>
      </c>
      <c r="F42" s="18" t="s">
        <v>285</v>
      </c>
      <c r="G42" s="78">
        <f>G43+G44+G45+G46</f>
        <v>3045</v>
      </c>
      <c r="H42" s="78">
        <f>H43+H44+H45+H46</f>
        <v>8130.3</v>
      </c>
      <c r="I42" s="78">
        <f>I43+I44+I45+I46</f>
        <v>0</v>
      </c>
      <c r="J42" s="78">
        <f>J43+J44+J45+J46</f>
        <v>11175.3</v>
      </c>
      <c r="L42" s="78">
        <f>L43+L44+L45+L46</f>
        <v>0</v>
      </c>
      <c r="M42" s="78">
        <f>M43+M44+M45+M46</f>
        <v>0</v>
      </c>
      <c r="N42" s="78">
        <f>N43+N44+N45+N46</f>
        <v>11175.3</v>
      </c>
      <c r="O42" s="78">
        <f>O43+O44+O45+O46</f>
        <v>0</v>
      </c>
      <c r="P42" s="78">
        <f>N42+O42</f>
        <v>11175.3</v>
      </c>
      <c r="Q42" s="78">
        <f>Q43+Q44+Q45+Q46</f>
        <v>663</v>
      </c>
      <c r="R42" s="78">
        <f>R43+R44+R45+R46</f>
        <v>0</v>
      </c>
      <c r="S42" s="78">
        <f>P42+Q42+R42</f>
        <v>11838.3</v>
      </c>
      <c r="T42" s="78">
        <f>T43+T44+T45+T46</f>
        <v>0</v>
      </c>
      <c r="U42" s="78">
        <f>R42+S42+T42</f>
        <v>11838.3</v>
      </c>
      <c r="V42" s="78">
        <f>V43+V44+V45+V46</f>
        <v>0</v>
      </c>
      <c r="W42" s="78">
        <f>W43+W44+W45+W46</f>
        <v>0</v>
      </c>
      <c r="X42" s="78">
        <f>T42+U42+W42</f>
        <v>11838.3</v>
      </c>
    </row>
    <row r="43" spans="1:24" ht="37.5" hidden="1" outlineLevel="1">
      <c r="A43" s="19"/>
      <c r="B43" s="19"/>
      <c r="C43" s="19"/>
      <c r="D43" s="19" t="s">
        <v>52</v>
      </c>
      <c r="E43" s="22" t="s">
        <v>219</v>
      </c>
      <c r="F43" s="21" t="s">
        <v>220</v>
      </c>
      <c r="G43" s="75">
        <v>113</v>
      </c>
      <c r="H43" s="75"/>
      <c r="I43" s="75"/>
      <c r="J43" s="75">
        <f>G43+H43+I43</f>
        <v>113</v>
      </c>
      <c r="L43" s="75"/>
      <c r="M43" s="75"/>
      <c r="N43" s="75">
        <f>J43+L43+M43</f>
        <v>113</v>
      </c>
      <c r="O43" s="75"/>
      <c r="P43" s="75"/>
      <c r="Q43" s="75">
        <v>663</v>
      </c>
      <c r="R43" s="75"/>
      <c r="S43" s="75"/>
      <c r="T43" s="75"/>
      <c r="U43" s="75"/>
      <c r="V43" s="75"/>
      <c r="W43" s="75"/>
      <c r="X43" s="75"/>
    </row>
    <row r="44" spans="1:24" ht="37.5" hidden="1" outlineLevel="1">
      <c r="A44" s="19"/>
      <c r="B44" s="19"/>
      <c r="C44" s="19"/>
      <c r="D44" s="19" t="s">
        <v>221</v>
      </c>
      <c r="E44" s="22" t="s">
        <v>222</v>
      </c>
      <c r="F44" s="21" t="s">
        <v>223</v>
      </c>
      <c r="G44" s="75">
        <f>876+97</f>
        <v>973</v>
      </c>
      <c r="H44" s="75"/>
      <c r="I44" s="75"/>
      <c r="J44" s="75">
        <f>G44+H44+I44</f>
        <v>973</v>
      </c>
      <c r="L44" s="75"/>
      <c r="M44" s="75"/>
      <c r="N44" s="75">
        <f>J44+L44+M44</f>
        <v>973</v>
      </c>
      <c r="O44" s="75"/>
      <c r="P44" s="75"/>
      <c r="Q44" s="75"/>
      <c r="R44" s="75"/>
      <c r="S44" s="75"/>
      <c r="T44" s="75"/>
      <c r="U44" s="75"/>
      <c r="V44" s="75"/>
      <c r="W44" s="75"/>
      <c r="X44" s="75"/>
    </row>
    <row r="45" spans="1:24" ht="56.25" hidden="1" outlineLevel="1">
      <c r="A45" s="19"/>
      <c r="B45" s="19"/>
      <c r="C45" s="19"/>
      <c r="D45" s="19" t="s">
        <v>224</v>
      </c>
      <c r="E45" s="22" t="s">
        <v>225</v>
      </c>
      <c r="F45" s="21" t="s">
        <v>226</v>
      </c>
      <c r="G45" s="75">
        <f>1959</f>
        <v>1959</v>
      </c>
      <c r="H45" s="75"/>
      <c r="I45" s="75"/>
      <c r="J45" s="75">
        <f>G45+H45+I45</f>
        <v>1959</v>
      </c>
      <c r="L45" s="75"/>
      <c r="M45" s="75"/>
      <c r="N45" s="75">
        <f>J45+L45+M45</f>
        <v>1959</v>
      </c>
      <c r="O45" s="75"/>
      <c r="P45" s="75"/>
      <c r="Q45" s="75"/>
      <c r="R45" s="75"/>
      <c r="S45" s="75"/>
      <c r="T45" s="75"/>
      <c r="U45" s="75"/>
      <c r="V45" s="75"/>
      <c r="W45" s="75"/>
      <c r="X45" s="75"/>
    </row>
    <row r="46" spans="1:24" s="107" customFormat="1" ht="56.25" hidden="1" outlineLevel="1">
      <c r="A46" s="29"/>
      <c r="B46" s="29"/>
      <c r="C46" s="29"/>
      <c r="D46" s="29" t="s">
        <v>75</v>
      </c>
      <c r="E46" s="27"/>
      <c r="F46" s="28" t="s">
        <v>502</v>
      </c>
      <c r="G46" s="80"/>
      <c r="H46" s="80">
        <v>8130.3</v>
      </c>
      <c r="I46" s="80"/>
      <c r="J46" s="80">
        <f>G46+H46+I46</f>
        <v>8130.3</v>
      </c>
      <c r="L46" s="80"/>
      <c r="M46" s="80"/>
      <c r="N46" s="75">
        <f>J46+L46+M46</f>
        <v>8130.3</v>
      </c>
      <c r="O46" s="80"/>
      <c r="P46" s="80"/>
      <c r="Q46" s="80"/>
      <c r="R46" s="80"/>
      <c r="S46" s="80"/>
      <c r="T46" s="80"/>
      <c r="U46" s="80"/>
      <c r="V46" s="80"/>
      <c r="W46" s="80"/>
      <c r="X46" s="80"/>
    </row>
    <row r="47" spans="1:24" ht="24" customHeight="1" collapsed="1">
      <c r="A47" s="13"/>
      <c r="B47" s="13" t="s">
        <v>96</v>
      </c>
      <c r="C47" s="13"/>
      <c r="D47" s="13"/>
      <c r="E47" s="14" t="s">
        <v>227</v>
      </c>
      <c r="F47" s="15" t="s">
        <v>228</v>
      </c>
      <c r="G47" s="77">
        <f>G48</f>
        <v>442</v>
      </c>
      <c r="H47" s="77">
        <f>H48</f>
        <v>0</v>
      </c>
      <c r="I47" s="77">
        <f>I48</f>
        <v>0</v>
      </c>
      <c r="J47" s="77">
        <f>J48</f>
        <v>442</v>
      </c>
      <c r="L47" s="77">
        <f aca="true" t="shared" si="13" ref="L47:W47">L48</f>
        <v>0</v>
      </c>
      <c r="M47" s="77">
        <f t="shared" si="13"/>
        <v>0</v>
      </c>
      <c r="N47" s="77">
        <f t="shared" si="13"/>
        <v>442</v>
      </c>
      <c r="O47" s="77">
        <f t="shared" si="13"/>
        <v>0</v>
      </c>
      <c r="P47" s="77">
        <f t="shared" si="13"/>
        <v>442</v>
      </c>
      <c r="Q47" s="77">
        <f t="shared" si="13"/>
        <v>800</v>
      </c>
      <c r="R47" s="77">
        <f t="shared" si="13"/>
        <v>0</v>
      </c>
      <c r="S47" s="77">
        <f>P47+Q47+R47</f>
        <v>1242</v>
      </c>
      <c r="T47" s="77">
        <f t="shared" si="13"/>
        <v>0</v>
      </c>
      <c r="U47" s="77">
        <f>R47+S47+T47</f>
        <v>1242</v>
      </c>
      <c r="V47" s="77">
        <f t="shared" si="13"/>
        <v>0</v>
      </c>
      <c r="W47" s="77">
        <f t="shared" si="13"/>
        <v>0</v>
      </c>
      <c r="X47" s="77">
        <f>T47+U47+W47</f>
        <v>1242</v>
      </c>
    </row>
    <row r="48" spans="1:24" ht="27" customHeight="1">
      <c r="A48" s="16"/>
      <c r="B48" s="16"/>
      <c r="C48" s="16" t="s">
        <v>38</v>
      </c>
      <c r="D48" s="16"/>
      <c r="E48" s="17" t="s">
        <v>227</v>
      </c>
      <c r="F48" s="18" t="s">
        <v>228</v>
      </c>
      <c r="G48" s="78">
        <f>G49+G50+G51</f>
        <v>442</v>
      </c>
      <c r="H48" s="78">
        <f>H49+H50+H51</f>
        <v>0</v>
      </c>
      <c r="I48" s="78">
        <f>I49+I50+I51</f>
        <v>0</v>
      </c>
      <c r="J48" s="78">
        <f>J49+J50+J51</f>
        <v>442</v>
      </c>
      <c r="L48" s="78">
        <f>L49+L50+L51</f>
        <v>0</v>
      </c>
      <c r="M48" s="78">
        <f>M49+M50+M51</f>
        <v>0</v>
      </c>
      <c r="N48" s="78">
        <f>N49+N50+N51</f>
        <v>442</v>
      </c>
      <c r="O48" s="78">
        <f>O49+O50+O51</f>
        <v>0</v>
      </c>
      <c r="P48" s="78">
        <f>N48+O48</f>
        <v>442</v>
      </c>
      <c r="Q48" s="78">
        <f>Q49+Q50+Q51</f>
        <v>800</v>
      </c>
      <c r="R48" s="78">
        <f>R49+R50+R51</f>
        <v>0</v>
      </c>
      <c r="S48" s="78">
        <f>P48+Q48+R48</f>
        <v>1242</v>
      </c>
      <c r="T48" s="78">
        <f>T49+T50+T51</f>
        <v>0</v>
      </c>
      <c r="U48" s="78">
        <f>R48+S48+T48</f>
        <v>1242</v>
      </c>
      <c r="V48" s="78">
        <f>V49+V50+V51</f>
        <v>0</v>
      </c>
      <c r="W48" s="78">
        <f>W49+W50+W51</f>
        <v>0</v>
      </c>
      <c r="X48" s="78">
        <f>T48+U48+W48</f>
        <v>1242</v>
      </c>
    </row>
    <row r="49" spans="1:24" ht="39" customHeight="1" hidden="1" outlineLevel="1">
      <c r="A49" s="29"/>
      <c r="B49" s="29"/>
      <c r="C49" s="29"/>
      <c r="D49" s="29" t="s">
        <v>86</v>
      </c>
      <c r="E49" s="22" t="s">
        <v>229</v>
      </c>
      <c r="F49" s="28" t="s">
        <v>230</v>
      </c>
      <c r="G49" s="80">
        <v>113</v>
      </c>
      <c r="H49" s="80"/>
      <c r="I49" s="80"/>
      <c r="J49" s="80">
        <f>G49+H49+I49</f>
        <v>113</v>
      </c>
      <c r="L49" s="80"/>
      <c r="M49" s="80"/>
      <c r="N49" s="75">
        <f>J49+L49+M49</f>
        <v>113</v>
      </c>
      <c r="O49" s="80"/>
      <c r="P49" s="80"/>
      <c r="Q49" s="80"/>
      <c r="R49" s="80"/>
      <c r="S49" s="80"/>
      <c r="T49" s="80"/>
      <c r="U49" s="80"/>
      <c r="V49" s="80"/>
      <c r="W49" s="80"/>
      <c r="X49" s="80"/>
    </row>
    <row r="50" spans="1:24" ht="39" customHeight="1" hidden="1" outlineLevel="1">
      <c r="A50" s="19"/>
      <c r="B50" s="19"/>
      <c r="C50" s="19"/>
      <c r="D50" s="19" t="s">
        <v>93</v>
      </c>
      <c r="E50" s="22" t="s">
        <v>231</v>
      </c>
      <c r="F50" s="21" t="s">
        <v>232</v>
      </c>
      <c r="G50" s="80">
        <v>270</v>
      </c>
      <c r="H50" s="80"/>
      <c r="I50" s="80"/>
      <c r="J50" s="80">
        <f>G50+H50+I50</f>
        <v>270</v>
      </c>
      <c r="L50" s="80"/>
      <c r="M50" s="80"/>
      <c r="N50" s="75">
        <f>J50+L50+M50</f>
        <v>270</v>
      </c>
      <c r="O50" s="80"/>
      <c r="P50" s="80"/>
      <c r="Q50" s="80"/>
      <c r="R50" s="80"/>
      <c r="S50" s="80"/>
      <c r="T50" s="80"/>
      <c r="U50" s="80"/>
      <c r="V50" s="80"/>
      <c r="W50" s="80"/>
      <c r="X50" s="80"/>
    </row>
    <row r="51" spans="1:24" ht="18.75" customHeight="1" hidden="1" outlineLevel="1">
      <c r="A51" s="19"/>
      <c r="B51" s="19"/>
      <c r="C51" s="19"/>
      <c r="D51" s="19" t="s">
        <v>233</v>
      </c>
      <c r="E51" s="20"/>
      <c r="F51" s="21" t="s">
        <v>234</v>
      </c>
      <c r="G51" s="75">
        <v>59</v>
      </c>
      <c r="H51" s="75"/>
      <c r="I51" s="75"/>
      <c r="J51" s="75">
        <f>G51+H51+I51</f>
        <v>59</v>
      </c>
      <c r="L51" s="75"/>
      <c r="M51" s="75"/>
      <c r="N51" s="75">
        <f>J51+L51+M51</f>
        <v>59</v>
      </c>
      <c r="O51" s="75"/>
      <c r="P51" s="75"/>
      <c r="Q51" s="75">
        <v>800</v>
      </c>
      <c r="R51" s="75"/>
      <c r="S51" s="75"/>
      <c r="T51" s="75"/>
      <c r="U51" s="75"/>
      <c r="V51" s="75"/>
      <c r="W51" s="75"/>
      <c r="X51" s="75"/>
    </row>
    <row r="52" spans="1:24" ht="24.75" customHeight="1" collapsed="1">
      <c r="A52" s="9" t="s">
        <v>54</v>
      </c>
      <c r="B52" s="9"/>
      <c r="C52" s="9"/>
      <c r="D52" s="9"/>
      <c r="E52" s="11" t="s">
        <v>187</v>
      </c>
      <c r="F52" s="11" t="s">
        <v>182</v>
      </c>
      <c r="G52" s="76" t="e">
        <f>G53+#REF!</f>
        <v>#REF!</v>
      </c>
      <c r="H52" s="76" t="e">
        <f>H53+#REF!</f>
        <v>#REF!</v>
      </c>
      <c r="I52" s="76" t="e">
        <f>I53+#REF!</f>
        <v>#REF!</v>
      </c>
      <c r="J52" s="76" t="e">
        <f>J53+#REF!</f>
        <v>#REF!</v>
      </c>
      <c r="L52" s="76" t="e">
        <f>L53+#REF!</f>
        <v>#REF!</v>
      </c>
      <c r="M52" s="76" t="e">
        <f>M53+#REF!</f>
        <v>#REF!</v>
      </c>
      <c r="N52" s="76" t="e">
        <f>N53+#REF!</f>
        <v>#REF!</v>
      </c>
      <c r="O52" s="76" t="e">
        <f>O53+#REF!</f>
        <v>#REF!</v>
      </c>
      <c r="P52" s="76">
        <f>P53</f>
        <v>0</v>
      </c>
      <c r="Q52" s="76">
        <f aca="true" t="shared" si="14" ref="Q52:X53">Q53</f>
        <v>92388.4</v>
      </c>
      <c r="R52" s="76">
        <f t="shared" si="14"/>
        <v>0</v>
      </c>
      <c r="S52" s="76">
        <f t="shared" si="14"/>
        <v>92388.4</v>
      </c>
      <c r="T52" s="76">
        <f t="shared" si="14"/>
        <v>0</v>
      </c>
      <c r="U52" s="76">
        <f t="shared" si="14"/>
        <v>92388.4</v>
      </c>
      <c r="V52" s="76">
        <f t="shared" si="14"/>
        <v>0</v>
      </c>
      <c r="W52" s="76">
        <f t="shared" si="14"/>
        <v>0</v>
      </c>
      <c r="X52" s="76">
        <f t="shared" si="14"/>
        <v>92388.4</v>
      </c>
    </row>
    <row r="53" spans="1:24" ht="35.25" customHeight="1">
      <c r="A53" s="13"/>
      <c r="B53" s="13" t="s">
        <v>38</v>
      </c>
      <c r="C53" s="13"/>
      <c r="D53" s="13"/>
      <c r="E53" s="15" t="s">
        <v>188</v>
      </c>
      <c r="F53" s="15" t="s">
        <v>183</v>
      </c>
      <c r="G53" s="77"/>
      <c r="H53" s="77"/>
      <c r="I53" s="77"/>
      <c r="J53" s="77"/>
      <c r="L53" s="77"/>
      <c r="M53" s="77"/>
      <c r="N53" s="77"/>
      <c r="O53" s="77"/>
      <c r="P53" s="77">
        <f>P54</f>
        <v>0</v>
      </c>
      <c r="Q53" s="77">
        <f t="shared" si="14"/>
        <v>92388.4</v>
      </c>
      <c r="R53" s="77">
        <f t="shared" si="14"/>
        <v>0</v>
      </c>
      <c r="S53" s="77">
        <f t="shared" si="14"/>
        <v>92388.4</v>
      </c>
      <c r="T53" s="77">
        <f t="shared" si="14"/>
        <v>0</v>
      </c>
      <c r="U53" s="77">
        <f t="shared" si="14"/>
        <v>92388.4</v>
      </c>
      <c r="V53" s="77">
        <f t="shared" si="14"/>
        <v>0</v>
      </c>
      <c r="W53" s="77">
        <f t="shared" si="14"/>
        <v>0</v>
      </c>
      <c r="X53" s="77">
        <f t="shared" si="14"/>
        <v>92388.4</v>
      </c>
    </row>
    <row r="54" spans="1:24" ht="37.5" customHeight="1">
      <c r="A54" s="16"/>
      <c r="B54" s="16"/>
      <c r="C54" s="16" t="s">
        <v>41</v>
      </c>
      <c r="D54" s="16"/>
      <c r="E54" s="18" t="s">
        <v>189</v>
      </c>
      <c r="F54" s="18" t="s">
        <v>183</v>
      </c>
      <c r="G54" s="78"/>
      <c r="H54" s="78"/>
      <c r="I54" s="78"/>
      <c r="J54" s="78"/>
      <c r="L54" s="78"/>
      <c r="M54" s="78"/>
      <c r="N54" s="78"/>
      <c r="O54" s="78"/>
      <c r="P54" s="78">
        <f aca="true" t="shared" si="15" ref="P54:V54">P55+P56+P57</f>
        <v>0</v>
      </c>
      <c r="Q54" s="78">
        <f t="shared" si="15"/>
        <v>92388.4</v>
      </c>
      <c r="R54" s="78">
        <f t="shared" si="15"/>
        <v>0</v>
      </c>
      <c r="S54" s="78">
        <f t="shared" si="15"/>
        <v>92388.4</v>
      </c>
      <c r="T54" s="78">
        <f t="shared" si="15"/>
        <v>0</v>
      </c>
      <c r="U54" s="78">
        <f t="shared" si="15"/>
        <v>92388.4</v>
      </c>
      <c r="V54" s="78">
        <f t="shared" si="15"/>
        <v>0</v>
      </c>
      <c r="W54" s="78">
        <f>W55+W56+W57</f>
        <v>0</v>
      </c>
      <c r="X54" s="78">
        <f>X55+X56+X57</f>
        <v>92388.4</v>
      </c>
    </row>
    <row r="55" spans="1:24" ht="56.25" customHeight="1" hidden="1" outlineLevel="1">
      <c r="A55" s="19"/>
      <c r="B55" s="19"/>
      <c r="C55" s="19"/>
      <c r="D55" s="19">
        <v>1</v>
      </c>
      <c r="E55" s="21" t="s">
        <v>190</v>
      </c>
      <c r="F55" s="21" t="s">
        <v>184</v>
      </c>
      <c r="G55" s="80"/>
      <c r="H55" s="80"/>
      <c r="I55" s="80"/>
      <c r="J55" s="80"/>
      <c r="L55" s="80"/>
      <c r="M55" s="80"/>
      <c r="N55" s="75"/>
      <c r="O55" s="80"/>
      <c r="P55" s="80"/>
      <c r="Q55" s="80"/>
      <c r="R55" s="80"/>
      <c r="S55" s="80">
        <f>P55+Q55+R55</f>
        <v>0</v>
      </c>
      <c r="T55" s="80"/>
      <c r="U55" s="80">
        <f>R55+S55+T55</f>
        <v>0</v>
      </c>
      <c r="V55" s="80"/>
      <c r="W55" s="80"/>
      <c r="X55" s="80">
        <f>T55+U55+W55</f>
        <v>0</v>
      </c>
    </row>
    <row r="56" spans="1:24" ht="54" customHeight="1" hidden="1" outlineLevel="1">
      <c r="A56" s="19"/>
      <c r="B56" s="19"/>
      <c r="C56" s="19"/>
      <c r="D56" s="19">
        <v>2</v>
      </c>
      <c r="E56" s="21" t="s">
        <v>191</v>
      </c>
      <c r="F56" s="21" t="s">
        <v>185</v>
      </c>
      <c r="G56" s="80"/>
      <c r="H56" s="80"/>
      <c r="I56" s="80"/>
      <c r="J56" s="80"/>
      <c r="L56" s="80"/>
      <c r="M56" s="80"/>
      <c r="N56" s="75"/>
      <c r="O56" s="80"/>
      <c r="P56" s="80"/>
      <c r="Q56" s="80">
        <f>56000+1760+34628.4</f>
        <v>92388.4</v>
      </c>
      <c r="R56" s="80"/>
      <c r="S56" s="80">
        <f>P56+Q56+R56</f>
        <v>92388.4</v>
      </c>
      <c r="T56" s="80"/>
      <c r="U56" s="80">
        <f>R56+S56+T56</f>
        <v>92388.4</v>
      </c>
      <c r="V56" s="80"/>
      <c r="W56" s="80"/>
      <c r="X56" s="80">
        <f>T56+U56+W56</f>
        <v>92388.4</v>
      </c>
    </row>
    <row r="57" spans="1:24" ht="39" customHeight="1" hidden="1" outlineLevel="1">
      <c r="A57" s="19"/>
      <c r="B57" s="19"/>
      <c r="C57" s="19"/>
      <c r="D57" s="19">
        <v>3</v>
      </c>
      <c r="E57" s="21" t="s">
        <v>192</v>
      </c>
      <c r="F57" s="21" t="s">
        <v>186</v>
      </c>
      <c r="G57" s="80"/>
      <c r="H57" s="80"/>
      <c r="I57" s="80"/>
      <c r="J57" s="80"/>
      <c r="L57" s="80"/>
      <c r="M57" s="80"/>
      <c r="N57" s="75"/>
      <c r="O57" s="80"/>
      <c r="P57" s="80"/>
      <c r="Q57" s="80"/>
      <c r="R57" s="80"/>
      <c r="S57" s="80">
        <f>P57+Q57+R57</f>
        <v>0</v>
      </c>
      <c r="T57" s="80"/>
      <c r="U57" s="80">
        <f>R57+S57+T57</f>
        <v>0</v>
      </c>
      <c r="V57" s="80"/>
      <c r="W57" s="80"/>
      <c r="X57" s="80">
        <f>T57+U57+W57</f>
        <v>0</v>
      </c>
    </row>
    <row r="58" spans="1:24" ht="26.25" customHeight="1" collapsed="1">
      <c r="A58" s="9" t="s">
        <v>235</v>
      </c>
      <c r="B58" s="9"/>
      <c r="C58" s="9"/>
      <c r="D58" s="9"/>
      <c r="E58" s="10" t="s">
        <v>236</v>
      </c>
      <c r="F58" s="11" t="s">
        <v>237</v>
      </c>
      <c r="G58" s="76">
        <f>G59+G65</f>
        <v>82929343</v>
      </c>
      <c r="H58" s="76">
        <f>H59+H65</f>
        <v>1156968.1</v>
      </c>
      <c r="I58" s="76">
        <f>I59+I65</f>
        <v>-2065519</v>
      </c>
      <c r="J58" s="76">
        <f>J59+J65</f>
        <v>82020792.1</v>
      </c>
      <c r="L58" s="76">
        <f aca="true" t="shared" si="16" ref="L58:S58">L59+L65</f>
        <v>0</v>
      </c>
      <c r="M58" s="76">
        <f t="shared" si="16"/>
        <v>0</v>
      </c>
      <c r="N58" s="76">
        <f t="shared" si="16"/>
        <v>82020792.1</v>
      </c>
      <c r="O58" s="76">
        <f t="shared" si="16"/>
        <v>645164</v>
      </c>
      <c r="P58" s="76">
        <f t="shared" si="16"/>
        <v>82665956.1</v>
      </c>
      <c r="Q58" s="76">
        <f t="shared" si="16"/>
        <v>0</v>
      </c>
      <c r="R58" s="76">
        <f t="shared" si="16"/>
        <v>-163700</v>
      </c>
      <c r="S58" s="76">
        <f t="shared" si="16"/>
        <v>82502256.1</v>
      </c>
      <c r="T58" s="76">
        <f>T59+T65</f>
        <v>0</v>
      </c>
      <c r="U58" s="76">
        <f>U59+U65</f>
        <v>82502256.1</v>
      </c>
      <c r="V58" s="76">
        <f>V59+V65</f>
        <v>395747</v>
      </c>
      <c r="W58" s="76">
        <f>W59+W65</f>
        <v>-104151</v>
      </c>
      <c r="X58" s="76">
        <f>X59+X65</f>
        <v>82793852.1</v>
      </c>
    </row>
    <row r="59" spans="1:24" ht="45.75" customHeight="1">
      <c r="A59" s="13"/>
      <c r="B59" s="13" t="s">
        <v>41</v>
      </c>
      <c r="C59" s="13"/>
      <c r="D59" s="13"/>
      <c r="E59" s="23" t="s">
        <v>238</v>
      </c>
      <c r="F59" s="15" t="s">
        <v>239</v>
      </c>
      <c r="G59" s="77">
        <f>G60</f>
        <v>2737215</v>
      </c>
      <c r="H59" s="77">
        <f>H60</f>
        <v>157622.1</v>
      </c>
      <c r="I59" s="77">
        <f>I60</f>
        <v>-679312</v>
      </c>
      <c r="J59" s="77">
        <f>J60</f>
        <v>2215525.1</v>
      </c>
      <c r="L59" s="77">
        <f aca="true" t="shared" si="17" ref="L59:W59">L60</f>
        <v>0</v>
      </c>
      <c r="M59" s="77">
        <f t="shared" si="17"/>
        <v>0</v>
      </c>
      <c r="N59" s="77">
        <f t="shared" si="17"/>
        <v>2215525.1</v>
      </c>
      <c r="O59" s="77">
        <f t="shared" si="17"/>
        <v>0</v>
      </c>
      <c r="P59" s="77">
        <f t="shared" si="17"/>
        <v>2215525.1</v>
      </c>
      <c r="Q59" s="77">
        <f t="shared" si="17"/>
        <v>0</v>
      </c>
      <c r="R59" s="77">
        <f t="shared" si="17"/>
        <v>0</v>
      </c>
      <c r="S59" s="77">
        <f>P59+Q59+R59</f>
        <v>2215525.1</v>
      </c>
      <c r="T59" s="77">
        <f t="shared" si="17"/>
        <v>0</v>
      </c>
      <c r="U59" s="77">
        <f>R59+S59+T59</f>
        <v>2215525.1</v>
      </c>
      <c r="V59" s="77">
        <f t="shared" si="17"/>
        <v>0</v>
      </c>
      <c r="W59" s="77">
        <f t="shared" si="17"/>
        <v>0</v>
      </c>
      <c r="X59" s="77">
        <f>T59+U59+W59</f>
        <v>2215525.1</v>
      </c>
    </row>
    <row r="60" spans="1:24" ht="27.75" customHeight="1">
      <c r="A60" s="16"/>
      <c r="B60" s="16"/>
      <c r="C60" s="16" t="s">
        <v>44</v>
      </c>
      <c r="D60" s="16"/>
      <c r="E60" s="17" t="s">
        <v>240</v>
      </c>
      <c r="F60" s="18" t="s">
        <v>243</v>
      </c>
      <c r="G60" s="78">
        <f>G61+G62+G63+G64</f>
        <v>2737215</v>
      </c>
      <c r="H60" s="78">
        <f>H61+H62+H63+H64</f>
        <v>157622.1</v>
      </c>
      <c r="I60" s="78">
        <f>I61+I62+I63+I64</f>
        <v>-679312</v>
      </c>
      <c r="J60" s="78">
        <f>J61+J62+J63+J64</f>
        <v>2215525.1</v>
      </c>
      <c r="L60" s="78">
        <f>L61+L62+L63+L64</f>
        <v>0</v>
      </c>
      <c r="M60" s="78">
        <f>M61+M62+M63+M64</f>
        <v>0</v>
      </c>
      <c r="N60" s="78">
        <f>N61+N62+N63+N64</f>
        <v>2215525.1</v>
      </c>
      <c r="O60" s="78">
        <f>O61+O62+O63+O64</f>
        <v>0</v>
      </c>
      <c r="P60" s="78">
        <f>N60+O60</f>
        <v>2215525.1</v>
      </c>
      <c r="Q60" s="78">
        <f>Q61+Q62+Q63+Q64</f>
        <v>0</v>
      </c>
      <c r="R60" s="78">
        <f>R61+R62+R63+R64</f>
        <v>0</v>
      </c>
      <c r="S60" s="78">
        <f>P60+Q60+R60</f>
        <v>2215525.1</v>
      </c>
      <c r="T60" s="78">
        <f>T61+T62+T63+T64</f>
        <v>0</v>
      </c>
      <c r="U60" s="78">
        <f>R60+S60+T60</f>
        <v>2215525.1</v>
      </c>
      <c r="V60" s="78">
        <f>V61+V62+V63+V64</f>
        <v>0</v>
      </c>
      <c r="W60" s="78">
        <f>W61+W62+W63+W64</f>
        <v>0</v>
      </c>
      <c r="X60" s="78">
        <f>T60+U60+W60</f>
        <v>2215525.1</v>
      </c>
    </row>
    <row r="61" spans="1:24" ht="18.75" hidden="1" outlineLevel="1">
      <c r="A61" s="19"/>
      <c r="B61" s="19"/>
      <c r="C61" s="19"/>
      <c r="D61" s="19" t="s">
        <v>41</v>
      </c>
      <c r="E61" s="20" t="s">
        <v>244</v>
      </c>
      <c r="F61" s="21" t="s">
        <v>245</v>
      </c>
      <c r="G61" s="80">
        <v>1226905</v>
      </c>
      <c r="H61" s="80"/>
      <c r="I61" s="80"/>
      <c r="J61" s="80">
        <f>G61+H61+I61</f>
        <v>1226905</v>
      </c>
      <c r="L61" s="80"/>
      <c r="M61" s="80"/>
      <c r="N61" s="75">
        <f>J61+L61+M61</f>
        <v>1226905</v>
      </c>
      <c r="O61" s="80"/>
      <c r="P61" s="80"/>
      <c r="Q61" s="80"/>
      <c r="R61" s="80"/>
      <c r="S61" s="80"/>
      <c r="T61" s="80"/>
      <c r="U61" s="80"/>
      <c r="V61" s="80"/>
      <c r="W61" s="80"/>
      <c r="X61" s="80">
        <f aca="true" t="shared" si="18" ref="X61:X69">U61+V61+W61</f>
        <v>0</v>
      </c>
    </row>
    <row r="62" spans="1:24" s="107" customFormat="1" ht="46.5" customHeight="1" hidden="1" outlineLevel="1">
      <c r="A62" s="29"/>
      <c r="B62" s="29"/>
      <c r="C62" s="29"/>
      <c r="D62" s="29" t="s">
        <v>83</v>
      </c>
      <c r="E62" s="27" t="s">
        <v>246</v>
      </c>
      <c r="F62" s="28" t="s">
        <v>247</v>
      </c>
      <c r="G62" s="80"/>
      <c r="H62" s="80">
        <f>83438.1+11731.5+57245.8+26.4+2311.8+38.5</f>
        <v>154792.1</v>
      </c>
      <c r="I62" s="80"/>
      <c r="J62" s="80">
        <f>G62+H62+I62</f>
        <v>154792.1</v>
      </c>
      <c r="L62" s="80"/>
      <c r="M62" s="80"/>
      <c r="N62" s="75">
        <f>J62+L62+M62</f>
        <v>154792.1</v>
      </c>
      <c r="O62" s="80"/>
      <c r="P62" s="80"/>
      <c r="Q62" s="80"/>
      <c r="R62" s="80"/>
      <c r="S62" s="80"/>
      <c r="T62" s="80"/>
      <c r="U62" s="80"/>
      <c r="V62" s="80"/>
      <c r="W62" s="80"/>
      <c r="X62" s="80">
        <f t="shared" si="18"/>
        <v>0</v>
      </c>
    </row>
    <row r="63" spans="1:24" s="107" customFormat="1" ht="37.5" hidden="1" outlineLevel="1">
      <c r="A63" s="29"/>
      <c r="B63" s="29"/>
      <c r="C63" s="29"/>
      <c r="D63" s="29" t="s">
        <v>56</v>
      </c>
      <c r="E63" s="27" t="s">
        <v>248</v>
      </c>
      <c r="F63" s="28" t="s">
        <v>252</v>
      </c>
      <c r="G63" s="80"/>
      <c r="H63" s="80">
        <v>2830</v>
      </c>
      <c r="I63" s="80"/>
      <c r="J63" s="80">
        <f>G63+H63+I63</f>
        <v>2830</v>
      </c>
      <c r="L63" s="80"/>
      <c r="M63" s="80"/>
      <c r="N63" s="75">
        <f>J63+L63+M63</f>
        <v>2830</v>
      </c>
      <c r="O63" s="80"/>
      <c r="P63" s="80"/>
      <c r="Q63" s="80"/>
      <c r="R63" s="80"/>
      <c r="S63" s="80"/>
      <c r="T63" s="80"/>
      <c r="U63" s="80"/>
      <c r="V63" s="80"/>
      <c r="W63" s="80"/>
      <c r="X63" s="80">
        <f t="shared" si="18"/>
        <v>0</v>
      </c>
    </row>
    <row r="64" spans="1:24" s="107" customFormat="1" ht="40.5" customHeight="1" hidden="1" outlineLevel="1">
      <c r="A64" s="29"/>
      <c r="B64" s="29"/>
      <c r="C64" s="29"/>
      <c r="D64" s="29" t="s">
        <v>49</v>
      </c>
      <c r="E64" s="27"/>
      <c r="F64" s="28" t="s">
        <v>278</v>
      </c>
      <c r="G64" s="80">
        <v>1510310</v>
      </c>
      <c r="H64" s="80"/>
      <c r="I64" s="80">
        <f>-736632+57320</f>
        <v>-679312</v>
      </c>
      <c r="J64" s="80">
        <f>G64+H64+I64</f>
        <v>830998</v>
      </c>
      <c r="L64" s="80"/>
      <c r="M64" s="80"/>
      <c r="N64" s="75">
        <f>J64+L64+M64</f>
        <v>830998</v>
      </c>
      <c r="O64" s="80"/>
      <c r="P64" s="80"/>
      <c r="Q64" s="80"/>
      <c r="R64" s="80"/>
      <c r="S64" s="80"/>
      <c r="T64" s="80"/>
      <c r="U64" s="80"/>
      <c r="V64" s="80"/>
      <c r="W64" s="80"/>
      <c r="X64" s="80">
        <f t="shared" si="18"/>
        <v>0</v>
      </c>
    </row>
    <row r="65" spans="1:24" ht="41.25" customHeight="1" collapsed="1">
      <c r="A65" s="13"/>
      <c r="B65" s="13" t="s">
        <v>83</v>
      </c>
      <c r="C65" s="13"/>
      <c r="D65" s="13"/>
      <c r="E65" s="23" t="s">
        <v>253</v>
      </c>
      <c r="F65" s="15" t="s">
        <v>254</v>
      </c>
      <c r="G65" s="77">
        <f>G66</f>
        <v>80192128</v>
      </c>
      <c r="H65" s="77">
        <f>H66</f>
        <v>999346</v>
      </c>
      <c r="I65" s="77">
        <f>I66</f>
        <v>-1386207</v>
      </c>
      <c r="J65" s="77">
        <f>J66</f>
        <v>79805267</v>
      </c>
      <c r="L65" s="77">
        <f aca="true" t="shared" si="19" ref="L65:W65">L66</f>
        <v>0</v>
      </c>
      <c r="M65" s="77">
        <f t="shared" si="19"/>
        <v>0</v>
      </c>
      <c r="N65" s="77">
        <f t="shared" si="19"/>
        <v>79805267</v>
      </c>
      <c r="O65" s="77">
        <f t="shared" si="19"/>
        <v>645164</v>
      </c>
      <c r="P65" s="77">
        <f t="shared" si="19"/>
        <v>80450431</v>
      </c>
      <c r="Q65" s="77">
        <f t="shared" si="19"/>
        <v>0</v>
      </c>
      <c r="R65" s="77">
        <f t="shared" si="19"/>
        <v>-163700</v>
      </c>
      <c r="S65" s="77">
        <f>P65+Q65+R65</f>
        <v>80286731</v>
      </c>
      <c r="T65" s="77">
        <f t="shared" si="19"/>
        <v>0</v>
      </c>
      <c r="U65" s="77">
        <f>S65+T65</f>
        <v>80286731</v>
      </c>
      <c r="V65" s="77">
        <f t="shared" si="19"/>
        <v>395747</v>
      </c>
      <c r="W65" s="77">
        <f t="shared" si="19"/>
        <v>-104151</v>
      </c>
      <c r="X65" s="77">
        <f t="shared" si="18"/>
        <v>80578327</v>
      </c>
    </row>
    <row r="66" spans="1:24" ht="31.5" customHeight="1">
      <c r="A66" s="16"/>
      <c r="B66" s="16"/>
      <c r="C66" s="16" t="s">
        <v>38</v>
      </c>
      <c r="D66" s="16"/>
      <c r="E66" s="17" t="s">
        <v>255</v>
      </c>
      <c r="F66" s="18" t="s">
        <v>256</v>
      </c>
      <c r="G66" s="78">
        <f>SUM(G67:G69)</f>
        <v>80192128</v>
      </c>
      <c r="H66" s="78">
        <f>SUM(H67:H69)</f>
        <v>999346</v>
      </c>
      <c r="I66" s="78">
        <f>SUM(I67:I69)</f>
        <v>-1386207</v>
      </c>
      <c r="J66" s="78">
        <f>SUM(J67:J69)</f>
        <v>79805267</v>
      </c>
      <c r="L66" s="78">
        <f aca="true" t="shared" si="20" ref="L66:R66">SUM(L67:L69)</f>
        <v>0</v>
      </c>
      <c r="M66" s="78">
        <f t="shared" si="20"/>
        <v>0</v>
      </c>
      <c r="N66" s="78">
        <f t="shared" si="20"/>
        <v>79805267</v>
      </c>
      <c r="O66" s="78">
        <f t="shared" si="20"/>
        <v>645164</v>
      </c>
      <c r="P66" s="78">
        <f t="shared" si="20"/>
        <v>80450431</v>
      </c>
      <c r="Q66" s="78">
        <f t="shared" si="20"/>
        <v>0</v>
      </c>
      <c r="R66" s="78">
        <f t="shared" si="20"/>
        <v>-163700</v>
      </c>
      <c r="S66" s="78">
        <f>P66+Q66+R66</f>
        <v>80286731</v>
      </c>
      <c r="T66" s="78">
        <f>SUM(T67:T69)</f>
        <v>0</v>
      </c>
      <c r="U66" s="78">
        <f>S66+T66</f>
        <v>80286731</v>
      </c>
      <c r="V66" s="78">
        <f>SUM(V67:V69)</f>
        <v>395747</v>
      </c>
      <c r="W66" s="78">
        <f>SUM(W67:W69)</f>
        <v>-104151</v>
      </c>
      <c r="X66" s="78">
        <f t="shared" si="18"/>
        <v>80578327</v>
      </c>
    </row>
    <row r="67" spans="1:24" ht="28.5" customHeight="1" hidden="1" outlineLevel="1">
      <c r="A67" s="19"/>
      <c r="B67" s="19"/>
      <c r="C67" s="19"/>
      <c r="D67" s="19" t="s">
        <v>41</v>
      </c>
      <c r="E67" s="30" t="s">
        <v>257</v>
      </c>
      <c r="F67" s="21" t="s">
        <v>258</v>
      </c>
      <c r="G67" s="75">
        <f>14658064+190000+567570</f>
        <v>15415634</v>
      </c>
      <c r="H67" s="98">
        <f>13145+308014+36185+10071+10363+12460</f>
        <v>390238</v>
      </c>
      <c r="I67" s="98">
        <f>-144673-119793-361741</f>
        <v>-626207</v>
      </c>
      <c r="J67" s="75">
        <f>G67+H67+I67</f>
        <v>15179665</v>
      </c>
      <c r="L67" s="98"/>
      <c r="M67" s="98"/>
      <c r="N67" s="75">
        <f>J67+L67+M67</f>
        <v>15179665</v>
      </c>
      <c r="O67" s="98">
        <f>424364</f>
        <v>424364</v>
      </c>
      <c r="P67" s="98">
        <f>N67+O67</f>
        <v>15604029</v>
      </c>
      <c r="Q67" s="98"/>
      <c r="R67" s="98"/>
      <c r="S67" s="98">
        <f>P67+Q67+R67</f>
        <v>15604029</v>
      </c>
      <c r="T67" s="98"/>
      <c r="U67" s="98">
        <f>R67+S67+T67</f>
        <v>15604029</v>
      </c>
      <c r="V67" s="98">
        <f>30000+57000+29196+118683+15868</f>
        <v>250747</v>
      </c>
      <c r="W67" s="98">
        <f>-5926-120-15868</f>
        <v>-21914</v>
      </c>
      <c r="X67" s="80">
        <f t="shared" si="18"/>
        <v>15832862</v>
      </c>
    </row>
    <row r="68" spans="1:24" ht="28.5" customHeight="1" hidden="1" outlineLevel="1">
      <c r="A68" s="19"/>
      <c r="B68" s="19"/>
      <c r="C68" s="19"/>
      <c r="D68" s="19" t="s">
        <v>83</v>
      </c>
      <c r="E68" s="30" t="s">
        <v>259</v>
      </c>
      <c r="F68" s="21" t="s">
        <v>260</v>
      </c>
      <c r="G68" s="75">
        <f>22054735-50000</f>
        <v>22004735</v>
      </c>
      <c r="H68" s="98">
        <f>565108+44000</f>
        <v>609108</v>
      </c>
      <c r="I68" s="98">
        <f>-760000</f>
        <v>-760000</v>
      </c>
      <c r="J68" s="75">
        <f>G68+H68+I68</f>
        <v>21853843</v>
      </c>
      <c r="L68" s="98"/>
      <c r="M68" s="98"/>
      <c r="N68" s="75">
        <f>J68+L68+M68</f>
        <v>21853843</v>
      </c>
      <c r="O68" s="98">
        <v>220800</v>
      </c>
      <c r="P68" s="98">
        <f>N68+O68</f>
        <v>22074643</v>
      </c>
      <c r="Q68" s="98"/>
      <c r="R68" s="98">
        <f>-163700</f>
        <v>-163700</v>
      </c>
      <c r="S68" s="98">
        <f>P68+Q68+R68</f>
        <v>21910943</v>
      </c>
      <c r="T68" s="98"/>
      <c r="U68" s="98">
        <f>S68+T68</f>
        <v>21910943</v>
      </c>
      <c r="V68" s="98">
        <f>25000+55000+65000</f>
        <v>145000</v>
      </c>
      <c r="W68" s="98">
        <f>-25000-34087-23150</f>
        <v>-82237</v>
      </c>
      <c r="X68" s="80">
        <f t="shared" si="18"/>
        <v>21973706</v>
      </c>
    </row>
    <row r="69" spans="1:24" ht="28.5" customHeight="1" hidden="1" outlineLevel="1">
      <c r="A69" s="19"/>
      <c r="B69" s="19"/>
      <c r="C69" s="19"/>
      <c r="D69" s="19" t="s">
        <v>56</v>
      </c>
      <c r="E69" s="21" t="s">
        <v>261</v>
      </c>
      <c r="F69" s="21" t="s">
        <v>30</v>
      </c>
      <c r="G69" s="75">
        <v>42771759</v>
      </c>
      <c r="H69" s="98"/>
      <c r="I69" s="98"/>
      <c r="J69" s="75">
        <f>G69+H69+I69</f>
        <v>42771759</v>
      </c>
      <c r="L69" s="98"/>
      <c r="M69" s="98"/>
      <c r="N69" s="75">
        <f>J69+L69+M69</f>
        <v>42771759</v>
      </c>
      <c r="O69" s="98"/>
      <c r="P69" s="98">
        <f>N69+O69</f>
        <v>42771759</v>
      </c>
      <c r="Q69" s="98"/>
      <c r="R69" s="98"/>
      <c r="S69" s="98">
        <f>P69+Q69+R69</f>
        <v>42771759</v>
      </c>
      <c r="T69" s="98"/>
      <c r="U69" s="98">
        <f>S69+T69</f>
        <v>42771759</v>
      </c>
      <c r="V69" s="98"/>
      <c r="W69" s="98"/>
      <c r="X69" s="80">
        <f t="shared" si="18"/>
        <v>42771759</v>
      </c>
    </row>
    <row r="70" ht="18" customHeight="1" collapsed="1"/>
    <row r="71" ht="15.75"/>
    <row r="72" ht="15.75">
      <c r="G72" s="72"/>
    </row>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sheetData>
  <sheetProtection/>
  <mergeCells count="31">
    <mergeCell ref="A3:X3"/>
    <mergeCell ref="A4:X4"/>
    <mergeCell ref="H7:H10"/>
    <mergeCell ref="N7:N10"/>
    <mergeCell ref="Q7:Q10"/>
    <mergeCell ref="R7:R10"/>
    <mergeCell ref="O7:O10"/>
    <mergeCell ref="A7:A10"/>
    <mergeCell ref="B7:B10"/>
    <mergeCell ref="T7:T10"/>
    <mergeCell ref="A5:G5"/>
    <mergeCell ref="G7:G10"/>
    <mergeCell ref="D7:D10"/>
    <mergeCell ref="E8:E10"/>
    <mergeCell ref="C7:C10"/>
    <mergeCell ref="F8:F10"/>
    <mergeCell ref="Q6:S6"/>
    <mergeCell ref="L7:L10"/>
    <mergeCell ref="I7:I10"/>
    <mergeCell ref="M7:M10"/>
    <mergeCell ref="P7:P10"/>
    <mergeCell ref="L6:N6"/>
    <mergeCell ref="O6:P6"/>
    <mergeCell ref="S7:S10"/>
    <mergeCell ref="G6:J6"/>
    <mergeCell ref="U7:U10"/>
    <mergeCell ref="J7:J10"/>
    <mergeCell ref="W7:W10"/>
    <mergeCell ref="X7:X10"/>
    <mergeCell ref="T6:U6"/>
    <mergeCell ref="V7:V10"/>
  </mergeCells>
  <printOptions horizontalCentered="1"/>
  <pageMargins left="0.87" right="0.5511811023622047" top="0.984251968503937" bottom="0.9448818897637796" header="0.35433070866141736" footer="0.2362204724409449"/>
  <pageSetup blackAndWhite="1" fitToHeight="0" horizontalDpi="600" verticalDpi="600" orientation="portrait" paperSize="9" scale="75" r:id="rId3"/>
  <headerFooter alignWithMargins="0">
    <oddHeader>&amp;C&amp;P</oddHeader>
  </headerFooter>
  <legacyDrawing r:id="rId2"/>
</worksheet>
</file>

<file path=xl/worksheets/sheet2.xml><?xml version="1.0" encoding="utf-8"?>
<worksheet xmlns="http://schemas.openxmlformats.org/spreadsheetml/2006/main" xmlns:r="http://schemas.openxmlformats.org/officeDocument/2006/relationships">
  <dimension ref="A2:AN352"/>
  <sheetViews>
    <sheetView view="pageBreakPreview" zoomScale="60" zoomScaleNormal="70" zoomScalePageLayoutView="70" workbookViewId="0" topLeftCell="A1">
      <selection activeCell="E11" sqref="E11"/>
    </sheetView>
  </sheetViews>
  <sheetFormatPr defaultColWidth="9.140625" defaultRowHeight="15"/>
  <cols>
    <col min="1" max="1" width="6.00390625" style="71" customWidth="1"/>
    <col min="2" max="2" width="9.7109375" style="71" customWidth="1"/>
    <col min="3" max="3" width="6.421875" style="71" customWidth="1"/>
    <col min="4" max="4" width="78.28125" style="71" hidden="1" customWidth="1"/>
    <col min="5" max="5" width="77.28125" style="48" customWidth="1"/>
    <col min="6" max="6" width="17.421875" style="112" hidden="1" customWidth="1"/>
    <col min="7" max="7" width="17.140625" style="113" hidden="1" customWidth="1"/>
    <col min="8" max="8" width="16.7109375" style="113" hidden="1" customWidth="1"/>
    <col min="9" max="9" width="17.140625" style="113" hidden="1" customWidth="1"/>
    <col min="10" max="10" width="17.8515625" style="113" hidden="1" customWidth="1"/>
    <col min="11" max="11" width="16.57421875" style="113" hidden="1" customWidth="1"/>
    <col min="12" max="12" width="17.140625" style="113" hidden="1" customWidth="1"/>
    <col min="13" max="13" width="17.8515625" style="113" hidden="1" customWidth="1"/>
    <col min="14" max="14" width="16.57421875" style="113" hidden="1" customWidth="1"/>
    <col min="15" max="15" width="9.140625" style="113" hidden="1" customWidth="1"/>
    <col min="16" max="16" width="17.140625" style="113" hidden="1" customWidth="1"/>
    <col min="17" max="17" width="17.8515625" style="113" hidden="1" customWidth="1"/>
    <col min="18" max="18" width="16.57421875" style="113" hidden="1" customWidth="1"/>
    <col min="19" max="19" width="17.140625" style="113" hidden="1" customWidth="1"/>
    <col min="20" max="20" width="17.8515625" style="113" hidden="1" customWidth="1"/>
    <col min="21" max="22" width="16.421875" style="31" hidden="1" customWidth="1"/>
    <col min="23" max="23" width="13.421875" style="31" hidden="1" customWidth="1"/>
    <col min="24" max="24" width="17.28125" style="31" hidden="1" customWidth="1"/>
    <col min="25" max="25" width="15.28125" style="31" hidden="1" customWidth="1"/>
    <col min="26" max="26" width="11.421875" style="31" hidden="1" customWidth="1"/>
    <col min="27" max="27" width="9.140625" style="31" hidden="1" customWidth="1"/>
    <col min="28" max="28" width="11.8515625" style="31" hidden="1" customWidth="1"/>
    <col min="29" max="34" width="9.140625" style="31" hidden="1" customWidth="1"/>
    <col min="35" max="35" width="17.28125" style="31" hidden="1" customWidth="1"/>
    <col min="36" max="36" width="19.7109375" style="31" hidden="1" customWidth="1"/>
    <col min="37" max="38" width="20.421875" style="31" hidden="1" customWidth="1"/>
    <col min="39" max="39" width="20.28125" style="31" customWidth="1"/>
    <col min="40" max="40" width="10.57421875" style="31" bestFit="1" customWidth="1"/>
    <col min="41" max="16384" width="9.140625" style="31" customWidth="1"/>
  </cols>
  <sheetData>
    <row r="2" spans="1:39" ht="210">
      <c r="A2" s="135" t="s">
        <v>211</v>
      </c>
      <c r="B2" s="135" t="s">
        <v>212</v>
      </c>
      <c r="C2" s="140" t="s">
        <v>213</v>
      </c>
      <c r="D2" s="136" t="s">
        <v>347</v>
      </c>
      <c r="E2" s="136" t="s">
        <v>33</v>
      </c>
      <c r="F2" s="137" t="s">
        <v>34</v>
      </c>
      <c r="G2" s="137" t="s">
        <v>543</v>
      </c>
      <c r="H2" s="137" t="s">
        <v>34</v>
      </c>
      <c r="I2" s="137" t="s">
        <v>251</v>
      </c>
      <c r="J2" s="137" t="s">
        <v>250</v>
      </c>
      <c r="K2" s="137" t="s">
        <v>34</v>
      </c>
      <c r="L2" s="137" t="s">
        <v>251</v>
      </c>
      <c r="M2" s="137" t="s">
        <v>250</v>
      </c>
      <c r="N2" s="137" t="s">
        <v>34</v>
      </c>
      <c r="O2" s="138">
        <f>N316</f>
        <v>25108640.299999982</v>
      </c>
      <c r="P2" s="137" t="s">
        <v>251</v>
      </c>
      <c r="Q2" s="137" t="s">
        <v>250</v>
      </c>
      <c r="R2" s="137" t="s">
        <v>34</v>
      </c>
      <c r="S2" s="137" t="s">
        <v>251</v>
      </c>
      <c r="T2" s="137" t="s">
        <v>250</v>
      </c>
      <c r="U2" s="139" t="s">
        <v>34</v>
      </c>
      <c r="V2" s="139" t="s">
        <v>251</v>
      </c>
      <c r="W2" s="139" t="s">
        <v>250</v>
      </c>
      <c r="X2" s="32" t="s">
        <v>34</v>
      </c>
      <c r="AI2" s="139" t="s">
        <v>251</v>
      </c>
      <c r="AJ2" s="32" t="s">
        <v>34</v>
      </c>
      <c r="AK2" s="139" t="s">
        <v>251</v>
      </c>
      <c r="AL2" s="139" t="s">
        <v>250</v>
      </c>
      <c r="AM2" s="32" t="s">
        <v>34</v>
      </c>
    </row>
    <row r="3" spans="1:39" s="142" customFormat="1" ht="12.75">
      <c r="A3" s="149">
        <v>1</v>
      </c>
      <c r="B3" s="149">
        <v>2</v>
      </c>
      <c r="C3" s="149">
        <v>3</v>
      </c>
      <c r="D3" s="150">
        <v>4</v>
      </c>
      <c r="E3" s="150">
        <v>4</v>
      </c>
      <c r="F3" s="151"/>
      <c r="G3" s="151"/>
      <c r="H3" s="151"/>
      <c r="I3" s="151"/>
      <c r="J3" s="151"/>
      <c r="K3" s="151"/>
      <c r="L3" s="151"/>
      <c r="M3" s="151"/>
      <c r="N3" s="151"/>
      <c r="O3" s="141"/>
      <c r="P3" s="151"/>
      <c r="Q3" s="151"/>
      <c r="R3" s="151"/>
      <c r="S3" s="151"/>
      <c r="T3" s="151"/>
      <c r="U3" s="149"/>
      <c r="V3" s="149"/>
      <c r="W3" s="149"/>
      <c r="X3" s="149">
        <v>6</v>
      </c>
      <c r="AI3" s="149"/>
      <c r="AJ3" s="149">
        <v>6</v>
      </c>
      <c r="AK3" s="149"/>
      <c r="AL3" s="149"/>
      <c r="AM3" s="149">
        <v>5</v>
      </c>
    </row>
    <row r="4" spans="1:39" ht="18.75">
      <c r="A4" s="73"/>
      <c r="B4" s="73"/>
      <c r="C4" s="73"/>
      <c r="D4" s="33" t="s">
        <v>348</v>
      </c>
      <c r="E4" s="33" t="s">
        <v>263</v>
      </c>
      <c r="F4" s="114">
        <f aca="true" t="shared" si="0" ref="F4:P4">F5+F25+F32+F46+F83+F117+F140+F155+F194+F228+F245+F257+F267+F191</f>
        <v>25668999</v>
      </c>
      <c r="G4" s="114">
        <f t="shared" si="0"/>
        <v>37071100</v>
      </c>
      <c r="H4" s="115">
        <f t="shared" si="0"/>
        <v>62740099</v>
      </c>
      <c r="I4" s="115">
        <f t="shared" si="0"/>
        <v>98850</v>
      </c>
      <c r="J4" s="115">
        <f t="shared" si="0"/>
        <v>0</v>
      </c>
      <c r="K4" s="115">
        <f t="shared" si="0"/>
        <v>64178554</v>
      </c>
      <c r="L4" s="115">
        <f t="shared" si="0"/>
        <v>2454925.2</v>
      </c>
      <c r="M4" s="115">
        <f t="shared" si="0"/>
        <v>-1490416.8</v>
      </c>
      <c r="N4" s="115">
        <f t="shared" si="0"/>
        <v>65141784.400000006</v>
      </c>
      <c r="P4" s="115">
        <f t="shared" si="0"/>
        <v>0</v>
      </c>
      <c r="Q4" s="115">
        <f>Q5+Q25+Q32+Q46+Q83+Q117+Q140+Q155+Q194+Q228+Q245+Q257+Q267+Q191</f>
        <v>0</v>
      </c>
      <c r="R4" s="115">
        <f aca="true" t="shared" si="1" ref="R4:X4">R5+R25+R32+R46+R83+R117+R140+R155+R194+R228+R245+R257+R191+R274</f>
        <v>90300424.7</v>
      </c>
      <c r="S4" s="115">
        <f t="shared" si="1"/>
        <v>645164</v>
      </c>
      <c r="T4" s="115">
        <f t="shared" si="1"/>
        <v>75000</v>
      </c>
      <c r="U4" s="81">
        <f t="shared" si="1"/>
        <v>90945588.7</v>
      </c>
      <c r="V4" s="81">
        <f t="shared" si="1"/>
        <v>1001540.1</v>
      </c>
      <c r="W4" s="81">
        <f t="shared" si="1"/>
        <v>-742049.4999999999</v>
      </c>
      <c r="X4" s="81">
        <f t="shared" si="1"/>
        <v>91205079.3</v>
      </c>
      <c r="Z4" s="106"/>
      <c r="AB4" s="106"/>
      <c r="AI4" s="81">
        <f>AI5+AI25+AI32+AI46+AI83+AI117+AI140+AI155+AI194+AI228+AI245+AI257+AI191+AI274</f>
        <v>0</v>
      </c>
      <c r="AJ4" s="81">
        <f>AJ5+AJ25+AJ32+AJ46+AJ83+AJ117+AJ140+AJ155+AJ194+AJ228+AJ245+AJ257+AJ191+AJ274</f>
        <v>91205079.3</v>
      </c>
      <c r="AK4" s="81">
        <f>AK5+AK25+AK32+AK46+AK83+AK117+AK140+AK155+AK194+AK228+AK245+AK257+AK191+AK274</f>
        <v>395747</v>
      </c>
      <c r="AL4" s="81">
        <f>AL5+AL25+AL32+AL46+AL83+AL117+AL140+AL155+AL194+AL228+AL245+AL257+AL191+AL274</f>
        <v>-104151</v>
      </c>
      <c r="AM4" s="81">
        <f>AM5+AM25+AM32+AM46+AM83+AM117+AM140+AM155+AM194+AM228+AM245+AM257+AM191+AM274</f>
        <v>91496675.3</v>
      </c>
    </row>
    <row r="5" spans="1:39" s="38" customFormat="1" ht="18.75">
      <c r="A5" s="34">
        <v>1</v>
      </c>
      <c r="B5" s="34"/>
      <c r="C5" s="35"/>
      <c r="D5" s="36" t="s">
        <v>349</v>
      </c>
      <c r="E5" s="37" t="s">
        <v>535</v>
      </c>
      <c r="F5" s="116">
        <f aca="true" t="shared" si="2" ref="F5:K5">F6+F10+F15+F20</f>
        <v>517751</v>
      </c>
      <c r="G5" s="116">
        <f t="shared" si="2"/>
        <v>411712</v>
      </c>
      <c r="H5" s="117">
        <f t="shared" si="2"/>
        <v>929463</v>
      </c>
      <c r="I5" s="117">
        <f t="shared" si="2"/>
        <v>0</v>
      </c>
      <c r="J5" s="117">
        <f t="shared" si="2"/>
        <v>0</v>
      </c>
      <c r="K5" s="117">
        <f t="shared" si="2"/>
        <v>929463</v>
      </c>
      <c r="L5" s="117">
        <f>L6+L10+L15+L20</f>
        <v>345849.7</v>
      </c>
      <c r="M5" s="117">
        <f>M6+M10+M15+M20</f>
        <v>0</v>
      </c>
      <c r="N5" s="117">
        <f>N6+N10+N15+N20</f>
        <v>1275312.7</v>
      </c>
      <c r="O5" s="128"/>
      <c r="P5" s="117">
        <f aca="true" t="shared" si="3" ref="P5:X5">P6+P10+P15+P20</f>
        <v>0</v>
      </c>
      <c r="Q5" s="117">
        <f t="shared" si="3"/>
        <v>0</v>
      </c>
      <c r="R5" s="117">
        <f t="shared" si="3"/>
        <v>1275312.7</v>
      </c>
      <c r="S5" s="117">
        <f t="shared" si="3"/>
        <v>0</v>
      </c>
      <c r="T5" s="117">
        <f t="shared" si="3"/>
        <v>0</v>
      </c>
      <c r="U5" s="82">
        <f t="shared" si="3"/>
        <v>1275312.7</v>
      </c>
      <c r="V5" s="82">
        <f t="shared" si="3"/>
        <v>33967</v>
      </c>
      <c r="W5" s="82">
        <f t="shared" si="3"/>
        <v>-239.6</v>
      </c>
      <c r="X5" s="82">
        <f t="shared" si="3"/>
        <v>1309040.1</v>
      </c>
      <c r="AI5" s="82">
        <f>AI6+AI10+AI15+AI20</f>
        <v>0</v>
      </c>
      <c r="AJ5" s="82">
        <f>AJ6+AJ10+AJ15+AJ20</f>
        <v>1309040.1</v>
      </c>
      <c r="AK5" s="82">
        <f>AK6+AK10+AK15+AK20</f>
        <v>0</v>
      </c>
      <c r="AL5" s="82">
        <f>AL6+AL10+AL15+AL20</f>
        <v>0</v>
      </c>
      <c r="AM5" s="82">
        <f>AM6+AM10+AM15+AM20</f>
        <v>1309040.1</v>
      </c>
    </row>
    <row r="6" spans="1:39" s="38" customFormat="1" ht="18.75">
      <c r="A6" s="39"/>
      <c r="B6" s="39">
        <v>110</v>
      </c>
      <c r="C6" s="40"/>
      <c r="D6" s="41" t="s">
        <v>350</v>
      </c>
      <c r="E6" s="42" t="s">
        <v>536</v>
      </c>
      <c r="F6" s="116">
        <f aca="true" t="shared" si="4" ref="F6:N6">F7+F8+F9</f>
        <v>47184</v>
      </c>
      <c r="G6" s="116">
        <f t="shared" si="4"/>
        <v>0</v>
      </c>
      <c r="H6" s="117">
        <f t="shared" si="4"/>
        <v>47184</v>
      </c>
      <c r="I6" s="117">
        <f t="shared" si="4"/>
        <v>0</v>
      </c>
      <c r="J6" s="117">
        <f t="shared" si="4"/>
        <v>0</v>
      </c>
      <c r="K6" s="117">
        <f t="shared" si="4"/>
        <v>47184</v>
      </c>
      <c r="L6" s="117">
        <f t="shared" si="4"/>
        <v>4238</v>
      </c>
      <c r="M6" s="117">
        <f t="shared" si="4"/>
        <v>0</v>
      </c>
      <c r="N6" s="117">
        <f t="shared" si="4"/>
        <v>51422</v>
      </c>
      <c r="O6" s="128"/>
      <c r="P6" s="117">
        <f aca="true" t="shared" si="5" ref="P6:X6">P7+P8+P9</f>
        <v>0</v>
      </c>
      <c r="Q6" s="117">
        <f t="shared" si="5"/>
        <v>0</v>
      </c>
      <c r="R6" s="117">
        <f t="shared" si="5"/>
        <v>51422</v>
      </c>
      <c r="S6" s="117">
        <f t="shared" si="5"/>
        <v>0</v>
      </c>
      <c r="T6" s="117">
        <f t="shared" si="5"/>
        <v>0</v>
      </c>
      <c r="U6" s="83">
        <f t="shared" si="5"/>
        <v>51422</v>
      </c>
      <c r="V6" s="83">
        <f t="shared" si="5"/>
        <v>0</v>
      </c>
      <c r="W6" s="83">
        <f t="shared" si="5"/>
        <v>-239.6</v>
      </c>
      <c r="X6" s="83">
        <f t="shared" si="5"/>
        <v>51182.4</v>
      </c>
      <c r="AI6" s="83">
        <f>AI7+AI8+AI9</f>
        <v>0</v>
      </c>
      <c r="AJ6" s="83">
        <f>AJ7+AJ8+AJ9</f>
        <v>51182.4</v>
      </c>
      <c r="AK6" s="83">
        <f>AK7+AK8+AK9</f>
        <v>0</v>
      </c>
      <c r="AL6" s="83">
        <f>AL7+AL8+AL9</f>
        <v>0</v>
      </c>
      <c r="AM6" s="83">
        <f>AM7+AM8+AM9</f>
        <v>51182.4</v>
      </c>
    </row>
    <row r="7" spans="1:40" s="38" customFormat="1" ht="27.75" customHeight="1">
      <c r="A7" s="44"/>
      <c r="B7" s="44"/>
      <c r="C7" s="45">
        <v>1</v>
      </c>
      <c r="D7" s="46" t="s">
        <v>351</v>
      </c>
      <c r="E7" s="47" t="s">
        <v>295</v>
      </c>
      <c r="F7" s="118">
        <v>45072</v>
      </c>
      <c r="G7" s="118"/>
      <c r="H7" s="109">
        <f>F7+G7</f>
        <v>45072</v>
      </c>
      <c r="I7" s="109"/>
      <c r="J7" s="109"/>
      <c r="K7" s="109">
        <f>H7+I7+J7</f>
        <v>45072</v>
      </c>
      <c r="L7" s="109">
        <f>3180+1058</f>
        <v>4238</v>
      </c>
      <c r="M7" s="109"/>
      <c r="N7" s="109">
        <f>K7+L7+M7</f>
        <v>49310</v>
      </c>
      <c r="O7" s="128"/>
      <c r="P7" s="109"/>
      <c r="Q7" s="109"/>
      <c r="R7" s="109">
        <f>N7+P7+Q7</f>
        <v>49310</v>
      </c>
      <c r="S7" s="109"/>
      <c r="T7" s="109"/>
      <c r="U7" s="84">
        <f>Q7+R7</f>
        <v>49310</v>
      </c>
      <c r="V7" s="84"/>
      <c r="W7" s="84">
        <f>-233.6</f>
        <v>-233.6</v>
      </c>
      <c r="X7" s="84">
        <f>U7+V7+W7</f>
        <v>49076.4</v>
      </c>
      <c r="Y7" s="95"/>
      <c r="AI7" s="84"/>
      <c r="AJ7" s="156">
        <f>X7+AI7</f>
        <v>49076.4</v>
      </c>
      <c r="AK7" s="84"/>
      <c r="AL7" s="84"/>
      <c r="AM7" s="156">
        <f>AJ7+AK7+AL7</f>
        <v>49076.4</v>
      </c>
      <c r="AN7" s="95"/>
    </row>
    <row r="8" spans="1:39" s="38" customFormat="1" ht="18.75">
      <c r="A8" s="44"/>
      <c r="B8" s="44"/>
      <c r="C8" s="45">
        <v>2</v>
      </c>
      <c r="D8" s="46" t="s">
        <v>352</v>
      </c>
      <c r="E8" s="47" t="s">
        <v>537</v>
      </c>
      <c r="F8" s="118">
        <v>1782</v>
      </c>
      <c r="G8" s="118"/>
      <c r="H8" s="109">
        <f>F8+G8</f>
        <v>1782</v>
      </c>
      <c r="I8" s="109"/>
      <c r="J8" s="109"/>
      <c r="K8" s="109">
        <f>H8+I8+J8</f>
        <v>1782</v>
      </c>
      <c r="L8" s="109"/>
      <c r="M8" s="109"/>
      <c r="N8" s="109">
        <f>K8+L8+M8</f>
        <v>1782</v>
      </c>
      <c r="O8" s="128"/>
      <c r="P8" s="109"/>
      <c r="Q8" s="109"/>
      <c r="R8" s="109">
        <f>N8+P8+Q8</f>
        <v>1782</v>
      </c>
      <c r="S8" s="109"/>
      <c r="T8" s="109"/>
      <c r="U8" s="84">
        <f>Q8+R8</f>
        <v>1782</v>
      </c>
      <c r="V8" s="84"/>
      <c r="W8" s="84"/>
      <c r="X8" s="84">
        <f aca="true" t="shared" si="6" ref="X8:X24">U8+V8+W8</f>
        <v>1782</v>
      </c>
      <c r="AI8" s="84"/>
      <c r="AJ8" s="156">
        <f>X8+AI8</f>
        <v>1782</v>
      </c>
      <c r="AK8" s="84"/>
      <c r="AL8" s="84"/>
      <c r="AM8" s="156">
        <f aca="true" t="shared" si="7" ref="AM8:AM24">AJ8+AK8+AL8</f>
        <v>1782</v>
      </c>
    </row>
    <row r="9" spans="1:39" s="38" customFormat="1" ht="30" customHeight="1">
      <c r="A9" s="44"/>
      <c r="B9" s="44"/>
      <c r="C9" s="45">
        <v>4</v>
      </c>
      <c r="D9" s="47" t="s">
        <v>353</v>
      </c>
      <c r="E9" s="47" t="s">
        <v>296</v>
      </c>
      <c r="F9" s="118">
        <v>330</v>
      </c>
      <c r="G9" s="118"/>
      <c r="H9" s="109">
        <f>F9+G9</f>
        <v>330</v>
      </c>
      <c r="I9" s="109"/>
      <c r="J9" s="109"/>
      <c r="K9" s="109">
        <f>H9+I9+J9</f>
        <v>330</v>
      </c>
      <c r="L9" s="109"/>
      <c r="M9" s="109"/>
      <c r="N9" s="109">
        <f>K9+L9+M9</f>
        <v>330</v>
      </c>
      <c r="O9" s="128"/>
      <c r="P9" s="109"/>
      <c r="Q9" s="109"/>
      <c r="R9" s="109">
        <f>N9+P9+Q9</f>
        <v>330</v>
      </c>
      <c r="S9" s="109"/>
      <c r="T9" s="109"/>
      <c r="U9" s="84">
        <f>Q9+R9</f>
        <v>330</v>
      </c>
      <c r="V9" s="84"/>
      <c r="W9" s="84">
        <f>-6</f>
        <v>-6</v>
      </c>
      <c r="X9" s="84">
        <f t="shared" si="6"/>
        <v>324</v>
      </c>
      <c r="AI9" s="84"/>
      <c r="AJ9" s="156">
        <f>X9+AI9</f>
        <v>324</v>
      </c>
      <c r="AK9" s="84"/>
      <c r="AL9" s="84"/>
      <c r="AM9" s="156">
        <f t="shared" si="7"/>
        <v>324</v>
      </c>
    </row>
    <row r="10" spans="1:39" s="38" customFormat="1" ht="18.75">
      <c r="A10" s="39"/>
      <c r="B10" s="39">
        <v>120</v>
      </c>
      <c r="C10" s="40"/>
      <c r="D10" s="41" t="s">
        <v>354</v>
      </c>
      <c r="E10" s="42" t="s">
        <v>538</v>
      </c>
      <c r="F10" s="116">
        <f aca="true" t="shared" si="8" ref="F10:N10">F11+F12+F14+F13</f>
        <v>261708</v>
      </c>
      <c r="G10" s="116">
        <f t="shared" si="8"/>
        <v>411712</v>
      </c>
      <c r="H10" s="117">
        <f t="shared" si="8"/>
        <v>673420</v>
      </c>
      <c r="I10" s="117">
        <f t="shared" si="8"/>
        <v>0</v>
      </c>
      <c r="J10" s="117">
        <f t="shared" si="8"/>
        <v>0</v>
      </c>
      <c r="K10" s="117">
        <f t="shared" si="8"/>
        <v>673420</v>
      </c>
      <c r="L10" s="117">
        <f t="shared" si="8"/>
        <v>20286.7</v>
      </c>
      <c r="M10" s="117">
        <f t="shared" si="8"/>
        <v>0</v>
      </c>
      <c r="N10" s="117">
        <f t="shared" si="8"/>
        <v>693706.7</v>
      </c>
      <c r="O10" s="128"/>
      <c r="P10" s="117">
        <f aca="true" t="shared" si="9" ref="P10:X10">P11+P12+P14+P13</f>
        <v>0</v>
      </c>
      <c r="Q10" s="117">
        <f t="shared" si="9"/>
        <v>0</v>
      </c>
      <c r="R10" s="117">
        <f t="shared" si="9"/>
        <v>693706.7</v>
      </c>
      <c r="S10" s="117">
        <f t="shared" si="9"/>
        <v>0</v>
      </c>
      <c r="T10" s="117">
        <f t="shared" si="9"/>
        <v>0</v>
      </c>
      <c r="U10" s="83">
        <f t="shared" si="9"/>
        <v>693706.7</v>
      </c>
      <c r="V10" s="83">
        <f t="shared" si="9"/>
        <v>33967</v>
      </c>
      <c r="W10" s="83">
        <f t="shared" si="9"/>
        <v>0</v>
      </c>
      <c r="X10" s="83">
        <f t="shared" si="9"/>
        <v>727673.7</v>
      </c>
      <c r="AI10" s="83">
        <f>AI11+AI12+AI14+AI13</f>
        <v>0</v>
      </c>
      <c r="AJ10" s="83">
        <f>AJ11+AJ12+AJ14+AJ13</f>
        <v>727673.7</v>
      </c>
      <c r="AK10" s="83">
        <f>AK11+AK12+AK14+AK13</f>
        <v>0</v>
      </c>
      <c r="AL10" s="83">
        <f>AL11+AL12+AL14+AL13</f>
        <v>0</v>
      </c>
      <c r="AM10" s="83">
        <f>AM11+AM12+AM14+AM13</f>
        <v>727673.7</v>
      </c>
    </row>
    <row r="11" spans="1:39" s="38" customFormat="1" ht="18.75">
      <c r="A11" s="44"/>
      <c r="B11" s="44"/>
      <c r="C11" s="45">
        <v>1</v>
      </c>
      <c r="D11" s="45" t="s">
        <v>203</v>
      </c>
      <c r="E11" s="47" t="s">
        <v>297</v>
      </c>
      <c r="F11" s="118">
        <v>256751</v>
      </c>
      <c r="G11" s="118"/>
      <c r="H11" s="109">
        <f>F11+G11</f>
        <v>256751</v>
      </c>
      <c r="I11" s="109"/>
      <c r="J11" s="109"/>
      <c r="K11" s="109">
        <f>H11+I11+J11</f>
        <v>256751</v>
      </c>
      <c r="L11" s="109">
        <f>3447.8+4483+157.9+340</f>
        <v>8428.7</v>
      </c>
      <c r="M11" s="109"/>
      <c r="N11" s="109">
        <f>K11+L11+M11</f>
        <v>265179.7</v>
      </c>
      <c r="O11" s="128"/>
      <c r="P11" s="109"/>
      <c r="Q11" s="109"/>
      <c r="R11" s="109">
        <f>N11+P11+Q11</f>
        <v>265179.7</v>
      </c>
      <c r="S11" s="109"/>
      <c r="T11" s="109"/>
      <c r="U11" s="84">
        <f>Q11+R11</f>
        <v>265179.7</v>
      </c>
      <c r="V11" s="84">
        <f>11715.8</f>
        <v>11715.8</v>
      </c>
      <c r="W11" s="85"/>
      <c r="X11" s="84">
        <f t="shared" si="6"/>
        <v>276895.5</v>
      </c>
      <c r="AI11" s="84"/>
      <c r="AJ11" s="156">
        <f>X11+AI11</f>
        <v>276895.5</v>
      </c>
      <c r="AK11" s="84"/>
      <c r="AL11" s="84"/>
      <c r="AM11" s="156">
        <f t="shared" si="7"/>
        <v>276895.5</v>
      </c>
    </row>
    <row r="12" spans="1:39" s="38" customFormat="1" ht="18.75">
      <c r="A12" s="44"/>
      <c r="B12" s="44"/>
      <c r="C12" s="45">
        <v>2</v>
      </c>
      <c r="D12" s="45" t="s">
        <v>352</v>
      </c>
      <c r="E12" s="47" t="s">
        <v>537</v>
      </c>
      <c r="F12" s="118">
        <v>687</v>
      </c>
      <c r="G12" s="118"/>
      <c r="H12" s="109">
        <f>F12+G12</f>
        <v>687</v>
      </c>
      <c r="I12" s="109"/>
      <c r="J12" s="109"/>
      <c r="K12" s="109">
        <f>H12+I12+J12</f>
        <v>687</v>
      </c>
      <c r="L12" s="109"/>
      <c r="M12" s="109"/>
      <c r="N12" s="109">
        <f>K12+L12+M12</f>
        <v>687</v>
      </c>
      <c r="O12" s="128"/>
      <c r="P12" s="109"/>
      <c r="Q12" s="109"/>
      <c r="R12" s="109">
        <f>N12+P12+Q12</f>
        <v>687</v>
      </c>
      <c r="S12" s="109"/>
      <c r="T12" s="109"/>
      <c r="U12" s="84">
        <f>Q12+R12</f>
        <v>687</v>
      </c>
      <c r="V12" s="84"/>
      <c r="W12" s="85"/>
      <c r="X12" s="84">
        <f t="shared" si="6"/>
        <v>687</v>
      </c>
      <c r="AI12" s="84"/>
      <c r="AJ12" s="156">
        <f aca="true" t="shared" si="10" ref="AJ12:AJ24">X12+AI12</f>
        <v>687</v>
      </c>
      <c r="AK12" s="84"/>
      <c r="AL12" s="84"/>
      <c r="AM12" s="156">
        <f t="shared" si="7"/>
        <v>687</v>
      </c>
    </row>
    <row r="13" spans="1:39" s="38" customFormat="1" ht="56.25">
      <c r="A13" s="44"/>
      <c r="B13" s="44"/>
      <c r="C13" s="45">
        <v>3</v>
      </c>
      <c r="D13" s="46" t="s">
        <v>487</v>
      </c>
      <c r="E13" s="47" t="s">
        <v>486</v>
      </c>
      <c r="F13" s="118"/>
      <c r="G13" s="118">
        <v>411712</v>
      </c>
      <c r="H13" s="109">
        <f>F13+G13</f>
        <v>411712</v>
      </c>
      <c r="I13" s="109"/>
      <c r="J13" s="109"/>
      <c r="K13" s="109">
        <f>H13+I13+J13</f>
        <v>411712</v>
      </c>
      <c r="L13" s="109">
        <v>10058</v>
      </c>
      <c r="M13" s="109"/>
      <c r="N13" s="109">
        <f>K13+L13+M13</f>
        <v>421770</v>
      </c>
      <c r="O13" s="128"/>
      <c r="P13" s="109"/>
      <c r="Q13" s="109"/>
      <c r="R13" s="109">
        <f>N13+P13+Q13</f>
        <v>421770</v>
      </c>
      <c r="S13" s="109"/>
      <c r="T13" s="109"/>
      <c r="U13" s="84">
        <f>Q13+R13</f>
        <v>421770</v>
      </c>
      <c r="V13" s="84"/>
      <c r="W13" s="85"/>
      <c r="X13" s="84">
        <f t="shared" si="6"/>
        <v>421770</v>
      </c>
      <c r="AI13" s="84"/>
      <c r="AJ13" s="156">
        <f t="shared" si="10"/>
        <v>421770</v>
      </c>
      <c r="AK13" s="84"/>
      <c r="AL13" s="84"/>
      <c r="AM13" s="156">
        <f t="shared" si="7"/>
        <v>421770</v>
      </c>
    </row>
    <row r="14" spans="1:39" s="38" customFormat="1" ht="18.75">
      <c r="A14" s="44"/>
      <c r="B14" s="44"/>
      <c r="C14" s="45">
        <v>5</v>
      </c>
      <c r="D14" s="47" t="s">
        <v>353</v>
      </c>
      <c r="E14" s="47" t="s">
        <v>296</v>
      </c>
      <c r="F14" s="118">
        <v>4270</v>
      </c>
      <c r="G14" s="118"/>
      <c r="H14" s="109">
        <f>F14+G14</f>
        <v>4270</v>
      </c>
      <c r="I14" s="109"/>
      <c r="J14" s="109"/>
      <c r="K14" s="109">
        <f>H14+I14+J14</f>
        <v>4270</v>
      </c>
      <c r="L14" s="109">
        <v>1800</v>
      </c>
      <c r="M14" s="109"/>
      <c r="N14" s="109">
        <f>K14+L14+M14</f>
        <v>6070</v>
      </c>
      <c r="O14" s="128"/>
      <c r="P14" s="109"/>
      <c r="Q14" s="109"/>
      <c r="R14" s="109">
        <f>N14+P14+Q14</f>
        <v>6070</v>
      </c>
      <c r="S14" s="109"/>
      <c r="T14" s="109"/>
      <c r="U14" s="84">
        <f>Q14+R14</f>
        <v>6070</v>
      </c>
      <c r="V14" s="84">
        <v>22251.2</v>
      </c>
      <c r="W14" s="85"/>
      <c r="X14" s="84">
        <f t="shared" si="6"/>
        <v>28321.2</v>
      </c>
      <c r="AI14" s="84"/>
      <c r="AJ14" s="156">
        <f t="shared" si="10"/>
        <v>28321.2</v>
      </c>
      <c r="AK14" s="84"/>
      <c r="AL14" s="84"/>
      <c r="AM14" s="156">
        <f t="shared" si="7"/>
        <v>28321.2</v>
      </c>
    </row>
    <row r="15" spans="1:39" s="38" customFormat="1" ht="18.75">
      <c r="A15" s="39"/>
      <c r="B15" s="39">
        <v>257</v>
      </c>
      <c r="C15" s="40"/>
      <c r="D15" s="41" t="s">
        <v>362</v>
      </c>
      <c r="E15" s="42" t="s">
        <v>539</v>
      </c>
      <c r="F15" s="116">
        <f>F16+F18+F17+F19</f>
        <v>88304</v>
      </c>
      <c r="G15" s="116">
        <f aca="true" t="shared" si="11" ref="G15:N15">G16+G18+G17+G19</f>
        <v>0</v>
      </c>
      <c r="H15" s="116">
        <f t="shared" si="11"/>
        <v>88304</v>
      </c>
      <c r="I15" s="116">
        <f t="shared" si="11"/>
        <v>0</v>
      </c>
      <c r="J15" s="116">
        <f t="shared" si="11"/>
        <v>0</v>
      </c>
      <c r="K15" s="116">
        <f t="shared" si="11"/>
        <v>88304</v>
      </c>
      <c r="L15" s="116">
        <f t="shared" si="11"/>
        <v>309188</v>
      </c>
      <c r="M15" s="116">
        <f t="shared" si="11"/>
        <v>0</v>
      </c>
      <c r="N15" s="116">
        <f t="shared" si="11"/>
        <v>397492</v>
      </c>
      <c r="O15" s="128"/>
      <c r="P15" s="116">
        <f aca="true" t="shared" si="12" ref="P15:X15">P16+P18+P17+P19</f>
        <v>0</v>
      </c>
      <c r="Q15" s="116">
        <f t="shared" si="12"/>
        <v>0</v>
      </c>
      <c r="R15" s="116">
        <f t="shared" si="12"/>
        <v>397492</v>
      </c>
      <c r="S15" s="116">
        <f t="shared" si="12"/>
        <v>0</v>
      </c>
      <c r="T15" s="116">
        <f t="shared" si="12"/>
        <v>0</v>
      </c>
      <c r="U15" s="43">
        <f t="shared" si="12"/>
        <v>397492</v>
      </c>
      <c r="V15" s="43">
        <f t="shared" si="12"/>
        <v>0</v>
      </c>
      <c r="W15" s="43">
        <f t="shared" si="12"/>
        <v>0</v>
      </c>
      <c r="X15" s="43">
        <f t="shared" si="12"/>
        <v>397492</v>
      </c>
      <c r="AI15" s="43">
        <f>AI16+AI18+AI17+AI19</f>
        <v>0</v>
      </c>
      <c r="AJ15" s="43">
        <f>AJ16+AJ18+AJ17+AJ19</f>
        <v>397492</v>
      </c>
      <c r="AK15" s="43">
        <f>AK16+AK18+AK17+AK19</f>
        <v>0</v>
      </c>
      <c r="AL15" s="43">
        <f>AL16+AL18+AL17+AL19</f>
        <v>0</v>
      </c>
      <c r="AM15" s="43">
        <f>AM16+AM18+AM17+AM19</f>
        <v>397492</v>
      </c>
    </row>
    <row r="16" spans="1:39" s="38" customFormat="1" ht="37.5">
      <c r="A16" s="44"/>
      <c r="B16" s="44"/>
      <c r="C16" s="45">
        <v>1</v>
      </c>
      <c r="D16" s="46" t="s">
        <v>363</v>
      </c>
      <c r="E16" s="49" t="s">
        <v>298</v>
      </c>
      <c r="F16" s="118">
        <v>79712</v>
      </c>
      <c r="G16" s="118"/>
      <c r="H16" s="109">
        <f>F16+G16</f>
        <v>79712</v>
      </c>
      <c r="I16" s="109"/>
      <c r="J16" s="109"/>
      <c r="K16" s="109">
        <f>H16+I16+J16</f>
        <v>79712</v>
      </c>
      <c r="L16" s="109">
        <f>2326</f>
        <v>2326</v>
      </c>
      <c r="M16" s="109"/>
      <c r="N16" s="109">
        <f>K16+L16+M16</f>
        <v>82038</v>
      </c>
      <c r="O16" s="128"/>
      <c r="P16" s="109"/>
      <c r="Q16" s="109"/>
      <c r="R16" s="109">
        <f>N16+P16+Q16</f>
        <v>82038</v>
      </c>
      <c r="S16" s="109"/>
      <c r="T16" s="109"/>
      <c r="U16" s="84">
        <f>Q16+R16</f>
        <v>82038</v>
      </c>
      <c r="V16" s="85"/>
      <c r="W16" s="85"/>
      <c r="X16" s="84">
        <f t="shared" si="6"/>
        <v>82038</v>
      </c>
      <c r="AI16" s="85"/>
      <c r="AJ16" s="156">
        <f t="shared" si="10"/>
        <v>82038</v>
      </c>
      <c r="AK16" s="85"/>
      <c r="AL16" s="85"/>
      <c r="AM16" s="156">
        <f t="shared" si="7"/>
        <v>82038</v>
      </c>
    </row>
    <row r="17" spans="1:39" s="38" customFormat="1" ht="18.75">
      <c r="A17" s="44"/>
      <c r="B17" s="44"/>
      <c r="C17" s="45">
        <v>2</v>
      </c>
      <c r="D17" s="46" t="s">
        <v>352</v>
      </c>
      <c r="E17" s="47" t="s">
        <v>537</v>
      </c>
      <c r="F17" s="118">
        <v>2689</v>
      </c>
      <c r="G17" s="118"/>
      <c r="H17" s="109">
        <f>F17+G17</f>
        <v>2689</v>
      </c>
      <c r="I17" s="109"/>
      <c r="J17" s="109"/>
      <c r="K17" s="109">
        <f>H17+I17+J17</f>
        <v>2689</v>
      </c>
      <c r="L17" s="109"/>
      <c r="M17" s="109"/>
      <c r="N17" s="109">
        <f>K17+L17+M17</f>
        <v>2689</v>
      </c>
      <c r="O17" s="128"/>
      <c r="P17" s="109"/>
      <c r="Q17" s="109"/>
      <c r="R17" s="109">
        <f aca="true" t="shared" si="13" ref="R17:R24">N17+P17+Q17</f>
        <v>2689</v>
      </c>
      <c r="S17" s="109"/>
      <c r="T17" s="109"/>
      <c r="U17" s="84">
        <f>Q17+R17</f>
        <v>2689</v>
      </c>
      <c r="V17" s="85"/>
      <c r="W17" s="85"/>
      <c r="X17" s="84">
        <f t="shared" si="6"/>
        <v>2689</v>
      </c>
      <c r="AI17" s="85"/>
      <c r="AJ17" s="156">
        <f t="shared" si="10"/>
        <v>2689</v>
      </c>
      <c r="AK17" s="85"/>
      <c r="AL17" s="85"/>
      <c r="AM17" s="156">
        <f t="shared" si="7"/>
        <v>2689</v>
      </c>
    </row>
    <row r="18" spans="1:39" s="38" customFormat="1" ht="18.75">
      <c r="A18" s="44"/>
      <c r="B18" s="44"/>
      <c r="C18" s="45">
        <v>9</v>
      </c>
      <c r="D18" s="47" t="s">
        <v>364</v>
      </c>
      <c r="E18" s="47" t="s">
        <v>540</v>
      </c>
      <c r="F18" s="118">
        <v>5903</v>
      </c>
      <c r="G18" s="118"/>
      <c r="H18" s="109">
        <f>F18+G18</f>
        <v>5903</v>
      </c>
      <c r="I18" s="109"/>
      <c r="J18" s="109"/>
      <c r="K18" s="109">
        <f>H18+I18+J18</f>
        <v>5903</v>
      </c>
      <c r="L18" s="109"/>
      <c r="M18" s="109"/>
      <c r="N18" s="109">
        <f>K18+L18+M18</f>
        <v>5903</v>
      </c>
      <c r="O18" s="128"/>
      <c r="P18" s="109"/>
      <c r="Q18" s="109"/>
      <c r="R18" s="109">
        <f t="shared" si="13"/>
        <v>5903</v>
      </c>
      <c r="S18" s="109"/>
      <c r="T18" s="109"/>
      <c r="U18" s="84">
        <f>Q18+R18</f>
        <v>5903</v>
      </c>
      <c r="V18" s="85"/>
      <c r="W18" s="85"/>
      <c r="X18" s="84">
        <f t="shared" si="6"/>
        <v>5903</v>
      </c>
      <c r="AI18" s="85"/>
      <c r="AJ18" s="156">
        <f t="shared" si="10"/>
        <v>5903</v>
      </c>
      <c r="AK18" s="85"/>
      <c r="AL18" s="85"/>
      <c r="AM18" s="156">
        <f t="shared" si="7"/>
        <v>5903</v>
      </c>
    </row>
    <row r="19" spans="1:39" s="53" customFormat="1" ht="18.75">
      <c r="A19" s="64"/>
      <c r="B19" s="64"/>
      <c r="C19" s="96">
        <v>113</v>
      </c>
      <c r="D19" s="55" t="s">
        <v>204</v>
      </c>
      <c r="E19" s="54" t="s">
        <v>310</v>
      </c>
      <c r="F19" s="118"/>
      <c r="G19" s="118"/>
      <c r="H19" s="109"/>
      <c r="I19" s="109"/>
      <c r="J19" s="109"/>
      <c r="K19" s="109"/>
      <c r="L19" s="109">
        <f>249542+57320</f>
        <v>306862</v>
      </c>
      <c r="M19" s="109"/>
      <c r="N19" s="109">
        <f>K19+L19+M19</f>
        <v>306862</v>
      </c>
      <c r="O19" s="128"/>
      <c r="P19" s="109"/>
      <c r="Q19" s="109"/>
      <c r="R19" s="109">
        <f t="shared" si="13"/>
        <v>306862</v>
      </c>
      <c r="S19" s="109"/>
      <c r="T19" s="109"/>
      <c r="U19" s="84">
        <f>Q19+R19</f>
        <v>306862</v>
      </c>
      <c r="V19" s="134">
        <f>15000-15000</f>
        <v>0</v>
      </c>
      <c r="W19" s="84"/>
      <c r="X19" s="84">
        <f t="shared" si="6"/>
        <v>306862</v>
      </c>
      <c r="AI19" s="134">
        <f>15000-15000</f>
        <v>0</v>
      </c>
      <c r="AJ19" s="156">
        <f t="shared" si="10"/>
        <v>306862</v>
      </c>
      <c r="AK19" s="84">
        <f>15000-15000</f>
        <v>0</v>
      </c>
      <c r="AL19" s="84">
        <f>15000-15000</f>
        <v>0</v>
      </c>
      <c r="AM19" s="156">
        <f t="shared" si="7"/>
        <v>306862</v>
      </c>
    </row>
    <row r="20" spans="1:39" s="38" customFormat="1" ht="18.75">
      <c r="A20" s="39"/>
      <c r="B20" s="39">
        <v>258</v>
      </c>
      <c r="C20" s="40"/>
      <c r="D20" s="41" t="s">
        <v>365</v>
      </c>
      <c r="E20" s="42" t="s">
        <v>541</v>
      </c>
      <c r="F20" s="116">
        <f>F21+F22+F23</f>
        <v>120555</v>
      </c>
      <c r="G20" s="116">
        <f>G21+G22+G23</f>
        <v>0</v>
      </c>
      <c r="H20" s="117">
        <f>H21+H22+H23</f>
        <v>120555</v>
      </c>
      <c r="I20" s="117">
        <f>I21+I22+I23</f>
        <v>0</v>
      </c>
      <c r="J20" s="117">
        <f>J21+J22+J23</f>
        <v>0</v>
      </c>
      <c r="K20" s="117">
        <f>K21+K22+K23+K24</f>
        <v>120555</v>
      </c>
      <c r="L20" s="117">
        <f>L21+L22+L23+L24</f>
        <v>12137</v>
      </c>
      <c r="M20" s="117">
        <f>M21+M22+M23+M24</f>
        <v>0</v>
      </c>
      <c r="N20" s="117">
        <f>N21+N22+N23+N24</f>
        <v>132692</v>
      </c>
      <c r="O20" s="128"/>
      <c r="P20" s="117">
        <f aca="true" t="shared" si="14" ref="P20:X20">P21+P22+P23+P24</f>
        <v>0</v>
      </c>
      <c r="Q20" s="117">
        <f t="shared" si="14"/>
        <v>0</v>
      </c>
      <c r="R20" s="117">
        <f t="shared" si="14"/>
        <v>132692</v>
      </c>
      <c r="S20" s="117">
        <f t="shared" si="14"/>
        <v>0</v>
      </c>
      <c r="T20" s="117">
        <f t="shared" si="14"/>
        <v>0</v>
      </c>
      <c r="U20" s="83">
        <f t="shared" si="14"/>
        <v>132692</v>
      </c>
      <c r="V20" s="83">
        <f t="shared" si="14"/>
        <v>0</v>
      </c>
      <c r="W20" s="83">
        <f t="shared" si="14"/>
        <v>0</v>
      </c>
      <c r="X20" s="83">
        <f t="shared" si="14"/>
        <v>132692</v>
      </c>
      <c r="AI20" s="83">
        <f>AI21+AI22+AI23+AI24</f>
        <v>0</v>
      </c>
      <c r="AJ20" s="83">
        <f>AJ21+AJ22+AJ23+AJ24</f>
        <v>132692</v>
      </c>
      <c r="AK20" s="83">
        <f>AK21+AK22+AK23+AK24</f>
        <v>0</v>
      </c>
      <c r="AL20" s="83">
        <f>AL21+AL22+AL23+AL24</f>
        <v>0</v>
      </c>
      <c r="AM20" s="158">
        <f>AM21+AM22+AM23+AM24</f>
        <v>132692</v>
      </c>
    </row>
    <row r="21" spans="1:39" s="38" customFormat="1" ht="56.25">
      <c r="A21" s="44"/>
      <c r="B21" s="44"/>
      <c r="C21" s="45">
        <v>1</v>
      </c>
      <c r="D21" s="46" t="s">
        <v>366</v>
      </c>
      <c r="E21" s="49" t="s">
        <v>299</v>
      </c>
      <c r="F21" s="118">
        <v>116589</v>
      </c>
      <c r="G21" s="118"/>
      <c r="H21" s="109">
        <f>F21+G21</f>
        <v>116589</v>
      </c>
      <c r="I21" s="109"/>
      <c r="J21" s="109"/>
      <c r="K21" s="109">
        <f>H21+I21+J21</f>
        <v>116589</v>
      </c>
      <c r="L21" s="109">
        <f>3500+2637</f>
        <v>6137</v>
      </c>
      <c r="M21" s="109"/>
      <c r="N21" s="109">
        <f>K21+L21+M21</f>
        <v>122726</v>
      </c>
      <c r="O21" s="128"/>
      <c r="P21" s="109"/>
      <c r="Q21" s="109"/>
      <c r="R21" s="109">
        <f t="shared" si="13"/>
        <v>122726</v>
      </c>
      <c r="S21" s="109"/>
      <c r="T21" s="109"/>
      <c r="U21" s="84">
        <f>Q21+R21</f>
        <v>122726</v>
      </c>
      <c r="V21" s="85"/>
      <c r="W21" s="85"/>
      <c r="X21" s="84">
        <f t="shared" si="6"/>
        <v>122726</v>
      </c>
      <c r="AI21" s="85"/>
      <c r="AJ21" s="156">
        <f t="shared" si="10"/>
        <v>122726</v>
      </c>
      <c r="AK21" s="85"/>
      <c r="AL21" s="85"/>
      <c r="AM21" s="156">
        <f t="shared" si="7"/>
        <v>122726</v>
      </c>
    </row>
    <row r="22" spans="1:39" s="38" customFormat="1" ht="18.75">
      <c r="A22" s="44"/>
      <c r="B22" s="44"/>
      <c r="C22" s="45">
        <v>2</v>
      </c>
      <c r="D22" s="46" t="s">
        <v>352</v>
      </c>
      <c r="E22" s="47" t="s">
        <v>537</v>
      </c>
      <c r="F22" s="118">
        <v>3066</v>
      </c>
      <c r="G22" s="118"/>
      <c r="H22" s="109">
        <f>F22+G22</f>
        <v>3066</v>
      </c>
      <c r="I22" s="109"/>
      <c r="J22" s="109"/>
      <c r="K22" s="109">
        <f>H22+I22+J22</f>
        <v>3066</v>
      </c>
      <c r="L22" s="109"/>
      <c r="M22" s="109"/>
      <c r="N22" s="109">
        <f>K22+L22+M22</f>
        <v>3066</v>
      </c>
      <c r="O22" s="128"/>
      <c r="P22" s="109"/>
      <c r="Q22" s="109"/>
      <c r="R22" s="109">
        <f t="shared" si="13"/>
        <v>3066</v>
      </c>
      <c r="S22" s="109"/>
      <c r="T22" s="109"/>
      <c r="U22" s="84">
        <f>Q22+R22</f>
        <v>3066</v>
      </c>
      <c r="V22" s="85"/>
      <c r="W22" s="85"/>
      <c r="X22" s="84">
        <f t="shared" si="6"/>
        <v>3066</v>
      </c>
      <c r="AI22" s="85"/>
      <c r="AJ22" s="156">
        <f t="shared" si="10"/>
        <v>3066</v>
      </c>
      <c r="AK22" s="85"/>
      <c r="AL22" s="85"/>
      <c r="AM22" s="156">
        <f t="shared" si="7"/>
        <v>3066</v>
      </c>
    </row>
    <row r="23" spans="1:39" s="38" customFormat="1" ht="24" customHeight="1">
      <c r="A23" s="44"/>
      <c r="B23" s="44"/>
      <c r="C23" s="45">
        <v>6</v>
      </c>
      <c r="D23" s="46" t="s">
        <v>353</v>
      </c>
      <c r="E23" s="47" t="s">
        <v>296</v>
      </c>
      <c r="F23" s="118">
        <v>900</v>
      </c>
      <c r="G23" s="118"/>
      <c r="H23" s="109">
        <f>F23+G23</f>
        <v>900</v>
      </c>
      <c r="I23" s="109"/>
      <c r="J23" s="109"/>
      <c r="K23" s="109">
        <f>H23+I23+J23</f>
        <v>900</v>
      </c>
      <c r="L23" s="109"/>
      <c r="M23" s="109"/>
      <c r="N23" s="109">
        <f>K23+L23+M23</f>
        <v>900</v>
      </c>
      <c r="O23" s="128"/>
      <c r="P23" s="109"/>
      <c r="Q23" s="109"/>
      <c r="R23" s="109">
        <f t="shared" si="13"/>
        <v>900</v>
      </c>
      <c r="S23" s="109"/>
      <c r="T23" s="109"/>
      <c r="U23" s="84">
        <f>Q23+R23</f>
        <v>900</v>
      </c>
      <c r="V23" s="85"/>
      <c r="W23" s="85"/>
      <c r="X23" s="84">
        <f t="shared" si="6"/>
        <v>900</v>
      </c>
      <c r="AI23" s="85"/>
      <c r="AJ23" s="156">
        <f t="shared" si="10"/>
        <v>900</v>
      </c>
      <c r="AK23" s="85"/>
      <c r="AL23" s="85"/>
      <c r="AM23" s="156">
        <f t="shared" si="7"/>
        <v>900</v>
      </c>
    </row>
    <row r="24" spans="1:39" s="104" customFormat="1" ht="27.75" customHeight="1">
      <c r="A24" s="64"/>
      <c r="B24" s="64"/>
      <c r="C24" s="65">
        <v>113</v>
      </c>
      <c r="D24" s="55" t="s">
        <v>204</v>
      </c>
      <c r="E24" s="67" t="s">
        <v>310</v>
      </c>
      <c r="F24" s="118"/>
      <c r="G24" s="118"/>
      <c r="H24" s="109"/>
      <c r="I24" s="109"/>
      <c r="J24" s="109"/>
      <c r="K24" s="109">
        <v>0</v>
      </c>
      <c r="L24" s="109">
        <v>6000</v>
      </c>
      <c r="M24" s="109"/>
      <c r="N24" s="109">
        <f>K24+L24+M24</f>
        <v>6000</v>
      </c>
      <c r="O24" s="129"/>
      <c r="P24" s="109"/>
      <c r="Q24" s="109"/>
      <c r="R24" s="109">
        <f t="shared" si="13"/>
        <v>6000</v>
      </c>
      <c r="S24" s="109"/>
      <c r="T24" s="109"/>
      <c r="U24" s="84">
        <f>Q24+R24</f>
        <v>6000</v>
      </c>
      <c r="V24" s="84"/>
      <c r="W24" s="84"/>
      <c r="X24" s="84">
        <f t="shared" si="6"/>
        <v>6000</v>
      </c>
      <c r="AI24" s="84"/>
      <c r="AJ24" s="156">
        <f t="shared" si="10"/>
        <v>6000</v>
      </c>
      <c r="AK24" s="84"/>
      <c r="AL24" s="84"/>
      <c r="AM24" s="156">
        <f t="shared" si="7"/>
        <v>6000</v>
      </c>
    </row>
    <row r="25" spans="1:39" s="38" customFormat="1" ht="18.75">
      <c r="A25" s="99">
        <v>2</v>
      </c>
      <c r="B25" s="99"/>
      <c r="C25" s="100"/>
      <c r="D25" s="101" t="s">
        <v>367</v>
      </c>
      <c r="E25" s="102" t="s">
        <v>542</v>
      </c>
      <c r="F25" s="119">
        <f aca="true" t="shared" si="15" ref="F25:X25">F26</f>
        <v>77952</v>
      </c>
      <c r="G25" s="119">
        <f t="shared" si="15"/>
        <v>0</v>
      </c>
      <c r="H25" s="120">
        <f t="shared" si="15"/>
        <v>77952</v>
      </c>
      <c r="I25" s="120">
        <f t="shared" si="15"/>
        <v>0</v>
      </c>
      <c r="J25" s="120">
        <f t="shared" si="15"/>
        <v>0</v>
      </c>
      <c r="K25" s="120">
        <f t="shared" si="15"/>
        <v>77952</v>
      </c>
      <c r="L25" s="120">
        <f t="shared" si="15"/>
        <v>2748</v>
      </c>
      <c r="M25" s="120">
        <f t="shared" si="15"/>
        <v>-1560</v>
      </c>
      <c r="N25" s="120">
        <f t="shared" si="15"/>
        <v>79140</v>
      </c>
      <c r="O25" s="128"/>
      <c r="P25" s="120">
        <f t="shared" si="15"/>
        <v>0</v>
      </c>
      <c r="Q25" s="120">
        <f t="shared" si="15"/>
        <v>0</v>
      </c>
      <c r="R25" s="120">
        <f t="shared" si="15"/>
        <v>79140</v>
      </c>
      <c r="S25" s="120">
        <f t="shared" si="15"/>
        <v>0</v>
      </c>
      <c r="T25" s="120">
        <f t="shared" si="15"/>
        <v>0</v>
      </c>
      <c r="U25" s="103">
        <f t="shared" si="15"/>
        <v>79140</v>
      </c>
      <c r="V25" s="103">
        <f t="shared" si="15"/>
        <v>0</v>
      </c>
      <c r="W25" s="103">
        <f t="shared" si="15"/>
        <v>-391</v>
      </c>
      <c r="X25" s="103">
        <f t="shared" si="15"/>
        <v>78749</v>
      </c>
      <c r="AI25" s="103">
        <f>AI26</f>
        <v>0</v>
      </c>
      <c r="AJ25" s="103">
        <f>AJ26</f>
        <v>78749</v>
      </c>
      <c r="AK25" s="103">
        <f>AK26</f>
        <v>0</v>
      </c>
      <c r="AL25" s="103">
        <f>AL26</f>
        <v>0</v>
      </c>
      <c r="AM25" s="103">
        <f>AM26</f>
        <v>78749</v>
      </c>
    </row>
    <row r="26" spans="1:39" s="38" customFormat="1" ht="56.25">
      <c r="A26" s="39"/>
      <c r="B26" s="39">
        <v>250</v>
      </c>
      <c r="C26" s="40"/>
      <c r="D26" s="41" t="s">
        <v>368</v>
      </c>
      <c r="E26" s="42" t="s">
        <v>554</v>
      </c>
      <c r="F26" s="116">
        <f aca="true" t="shared" si="16" ref="F26:N26">F27+F29+F30+F28</f>
        <v>77952</v>
      </c>
      <c r="G26" s="116">
        <f t="shared" si="16"/>
        <v>0</v>
      </c>
      <c r="H26" s="117">
        <f t="shared" si="16"/>
        <v>77952</v>
      </c>
      <c r="I26" s="117">
        <f t="shared" si="16"/>
        <v>0</v>
      </c>
      <c r="J26" s="117">
        <f t="shared" si="16"/>
        <v>0</v>
      </c>
      <c r="K26" s="117">
        <f t="shared" si="16"/>
        <v>77952</v>
      </c>
      <c r="L26" s="117">
        <f t="shared" si="16"/>
        <v>2748</v>
      </c>
      <c r="M26" s="117">
        <f t="shared" si="16"/>
        <v>-1560</v>
      </c>
      <c r="N26" s="117">
        <f t="shared" si="16"/>
        <v>79140</v>
      </c>
      <c r="O26" s="128"/>
      <c r="P26" s="117">
        <f>P27+P29+P30+P28</f>
        <v>0</v>
      </c>
      <c r="Q26" s="117">
        <f>Q27+Q29+Q30+Q28</f>
        <v>0</v>
      </c>
      <c r="R26" s="117">
        <f>R27+R29+R30+R28</f>
        <v>79140</v>
      </c>
      <c r="S26" s="117">
        <f>S27+S29+S30+S28</f>
        <v>0</v>
      </c>
      <c r="T26" s="117">
        <f>T27+T29+T30+T28</f>
        <v>0</v>
      </c>
      <c r="U26" s="83">
        <f>U27+U29+U30+U28+U31</f>
        <v>79140</v>
      </c>
      <c r="V26" s="83">
        <f>V27+V29+V30+V28+V31</f>
        <v>0</v>
      </c>
      <c r="W26" s="83">
        <f>W27+W29+W30+W28+W31</f>
        <v>-391</v>
      </c>
      <c r="X26" s="83">
        <f>X27+X29+X30+X28+X31</f>
        <v>78749</v>
      </c>
      <c r="AI26" s="83">
        <f>AI27+AI29+AI30+AI28+AI31</f>
        <v>0</v>
      </c>
      <c r="AJ26" s="83">
        <f>AJ27+AJ29+AJ30+AJ28+AJ31</f>
        <v>78749</v>
      </c>
      <c r="AK26" s="83">
        <f>AK27+AK29+AK30+AK28+AK31</f>
        <v>0</v>
      </c>
      <c r="AL26" s="83">
        <f>AL27+AL29+AL30+AL28+AL31</f>
        <v>0</v>
      </c>
      <c r="AM26" s="83">
        <f>AM27+AM29+AM30+AM28+AM31</f>
        <v>78749</v>
      </c>
    </row>
    <row r="27" spans="1:39" s="53" customFormat="1" ht="75">
      <c r="A27" s="64"/>
      <c r="B27" s="64"/>
      <c r="C27" s="65">
        <v>1</v>
      </c>
      <c r="D27" s="55" t="s">
        <v>369</v>
      </c>
      <c r="E27" s="54" t="s">
        <v>300</v>
      </c>
      <c r="F27" s="118">
        <v>24032</v>
      </c>
      <c r="G27" s="118"/>
      <c r="H27" s="109">
        <f>F27+G27</f>
        <v>24032</v>
      </c>
      <c r="I27" s="109"/>
      <c r="J27" s="109"/>
      <c r="K27" s="109">
        <f>H27+I27+J27</f>
        <v>24032</v>
      </c>
      <c r="L27" s="109">
        <f>702+1284</f>
        <v>1986</v>
      </c>
      <c r="M27" s="109"/>
      <c r="N27" s="109">
        <f>K27+L27+M27</f>
        <v>26018</v>
      </c>
      <c r="O27" s="128"/>
      <c r="P27" s="109"/>
      <c r="Q27" s="109"/>
      <c r="R27" s="109">
        <f>N27+P27+Q27</f>
        <v>26018</v>
      </c>
      <c r="S27" s="109"/>
      <c r="T27" s="109"/>
      <c r="U27" s="84">
        <f>Q27+R27</f>
        <v>26018</v>
      </c>
      <c r="V27" s="84"/>
      <c r="W27" s="84"/>
      <c r="X27" s="84">
        <f>U27+V27+W27</f>
        <v>26018</v>
      </c>
      <c r="AI27" s="84"/>
      <c r="AJ27" s="156">
        <f>X27+AI27</f>
        <v>26018</v>
      </c>
      <c r="AK27" s="84"/>
      <c r="AL27" s="84"/>
      <c r="AM27" s="156">
        <f>AJ27+AK27+AL27</f>
        <v>26018</v>
      </c>
    </row>
    <row r="28" spans="1:39" s="53" customFormat="1" ht="18.75">
      <c r="A28" s="64"/>
      <c r="B28" s="64"/>
      <c r="C28" s="65">
        <v>2</v>
      </c>
      <c r="D28" s="55" t="s">
        <v>352</v>
      </c>
      <c r="E28" s="67" t="s">
        <v>537</v>
      </c>
      <c r="F28" s="118">
        <v>1908</v>
      </c>
      <c r="G28" s="118"/>
      <c r="H28" s="109">
        <f>F28+G28</f>
        <v>1908</v>
      </c>
      <c r="I28" s="109"/>
      <c r="J28" s="109"/>
      <c r="K28" s="109">
        <f>H28+I28+J28</f>
        <v>1908</v>
      </c>
      <c r="L28" s="109"/>
      <c r="M28" s="109"/>
      <c r="N28" s="109">
        <f>K28+L28+M28</f>
        <v>1908</v>
      </c>
      <c r="O28" s="128"/>
      <c r="P28" s="109"/>
      <c r="Q28" s="109"/>
      <c r="R28" s="109">
        <f>N28+P28+Q28</f>
        <v>1908</v>
      </c>
      <c r="S28" s="109"/>
      <c r="T28" s="109"/>
      <c r="U28" s="84">
        <f>Q28+R28</f>
        <v>1908</v>
      </c>
      <c r="V28" s="84"/>
      <c r="W28" s="84">
        <f>-391</f>
        <v>-391</v>
      </c>
      <c r="X28" s="84">
        <f>U28+V28+W28</f>
        <v>1517</v>
      </c>
      <c r="AI28" s="84"/>
      <c r="AJ28" s="156">
        <f>X28+AI28</f>
        <v>1517</v>
      </c>
      <c r="AK28" s="84"/>
      <c r="AL28" s="84"/>
      <c r="AM28" s="156">
        <f>AJ28+AK28+AL28</f>
        <v>1517</v>
      </c>
    </row>
    <row r="29" spans="1:39" s="53" customFormat="1" ht="18.75">
      <c r="A29" s="64"/>
      <c r="B29" s="64"/>
      <c r="C29" s="65">
        <v>3</v>
      </c>
      <c r="D29" s="69" t="s">
        <v>370</v>
      </c>
      <c r="E29" s="67" t="s">
        <v>555</v>
      </c>
      <c r="F29" s="118">
        <v>3818</v>
      </c>
      <c r="G29" s="118"/>
      <c r="H29" s="109">
        <f>F29+G29</f>
        <v>3818</v>
      </c>
      <c r="I29" s="109"/>
      <c r="J29" s="109"/>
      <c r="K29" s="109">
        <f>H29+I29+J29</f>
        <v>3818</v>
      </c>
      <c r="L29" s="109"/>
      <c r="M29" s="109"/>
      <c r="N29" s="109">
        <f>K29+L29+M29</f>
        <v>3818</v>
      </c>
      <c r="O29" s="128"/>
      <c r="P29" s="109"/>
      <c r="Q29" s="109"/>
      <c r="R29" s="109">
        <f>N29+P29+Q29</f>
        <v>3818</v>
      </c>
      <c r="S29" s="109"/>
      <c r="T29" s="109"/>
      <c r="U29" s="84">
        <f>Q29+R29</f>
        <v>3818</v>
      </c>
      <c r="V29" s="84"/>
      <c r="W29" s="84"/>
      <c r="X29" s="84">
        <f>U29+V29+W29</f>
        <v>3818</v>
      </c>
      <c r="AI29" s="84"/>
      <c r="AJ29" s="156">
        <f>X29+AI29</f>
        <v>3818</v>
      </c>
      <c r="AK29" s="84"/>
      <c r="AL29" s="84"/>
      <c r="AM29" s="156">
        <f>AJ29+AK29+AL29</f>
        <v>3818</v>
      </c>
    </row>
    <row r="30" spans="1:39" s="53" customFormat="1" ht="18.75">
      <c r="A30" s="64"/>
      <c r="B30" s="64"/>
      <c r="C30" s="65">
        <v>5</v>
      </c>
      <c r="D30" s="69" t="s">
        <v>372</v>
      </c>
      <c r="E30" s="67" t="s">
        <v>556</v>
      </c>
      <c r="F30" s="118">
        <v>48194</v>
      </c>
      <c r="G30" s="118"/>
      <c r="H30" s="109">
        <f>F30+G30</f>
        <v>48194</v>
      </c>
      <c r="I30" s="109"/>
      <c r="J30" s="109"/>
      <c r="K30" s="109">
        <f>H30+I30+J30</f>
        <v>48194</v>
      </c>
      <c r="L30" s="109">
        <f>762</f>
        <v>762</v>
      </c>
      <c r="M30" s="109">
        <f>-276-1284</f>
        <v>-1560</v>
      </c>
      <c r="N30" s="109">
        <f>K30+L30+M30</f>
        <v>47396</v>
      </c>
      <c r="O30" s="128"/>
      <c r="P30" s="109"/>
      <c r="Q30" s="109"/>
      <c r="R30" s="109">
        <f>N30+P30+Q30</f>
        <v>47396</v>
      </c>
      <c r="S30" s="109"/>
      <c r="T30" s="109"/>
      <c r="U30" s="84">
        <f>Q30+R30</f>
        <v>47396</v>
      </c>
      <c r="V30" s="84"/>
      <c r="W30" s="84"/>
      <c r="X30" s="84">
        <f>U30+V30+W30</f>
        <v>47396</v>
      </c>
      <c r="AI30" s="84"/>
      <c r="AJ30" s="156">
        <f>X30+AI30</f>
        <v>47396</v>
      </c>
      <c r="AK30" s="84"/>
      <c r="AL30" s="84"/>
      <c r="AM30" s="156">
        <f>AJ30+AK30+AL30</f>
        <v>47396</v>
      </c>
    </row>
    <row r="31" spans="1:39" s="53" customFormat="1" ht="37.5" hidden="1">
      <c r="A31" s="64"/>
      <c r="B31" s="64"/>
      <c r="C31" s="65">
        <v>6</v>
      </c>
      <c r="D31" s="69"/>
      <c r="E31" s="67" t="s">
        <v>180</v>
      </c>
      <c r="F31" s="154"/>
      <c r="G31" s="154"/>
      <c r="H31" s="84"/>
      <c r="I31" s="84"/>
      <c r="J31" s="84"/>
      <c r="K31" s="84"/>
      <c r="L31" s="84"/>
      <c r="M31" s="84"/>
      <c r="N31" s="84"/>
      <c r="P31" s="84"/>
      <c r="Q31" s="84"/>
      <c r="R31" s="84"/>
      <c r="S31" s="84"/>
      <c r="T31" s="84"/>
      <c r="U31" s="84"/>
      <c r="V31" s="84"/>
      <c r="W31" s="84"/>
      <c r="X31" s="84"/>
      <c r="AI31" s="84"/>
      <c r="AJ31" s="84"/>
      <c r="AK31" s="84"/>
      <c r="AL31" s="84"/>
      <c r="AM31" s="84"/>
    </row>
    <row r="32" spans="1:39" s="38" customFormat="1" ht="37.5">
      <c r="A32" s="34">
        <v>3</v>
      </c>
      <c r="B32" s="34"/>
      <c r="C32" s="35"/>
      <c r="D32" s="36" t="s">
        <v>373</v>
      </c>
      <c r="E32" s="37" t="s">
        <v>557</v>
      </c>
      <c r="F32" s="116">
        <f aca="true" t="shared" si="17" ref="F32:K32">F33+F44</f>
        <v>3001605</v>
      </c>
      <c r="G32" s="116">
        <f t="shared" si="17"/>
        <v>0</v>
      </c>
      <c r="H32" s="117">
        <f t="shared" si="17"/>
        <v>3001605</v>
      </c>
      <c r="I32" s="117">
        <f t="shared" si="17"/>
        <v>0</v>
      </c>
      <c r="J32" s="117">
        <f t="shared" si="17"/>
        <v>0</v>
      </c>
      <c r="K32" s="117">
        <f t="shared" si="17"/>
        <v>3001605</v>
      </c>
      <c r="L32" s="117">
        <f>L33+L44</f>
        <v>120181</v>
      </c>
      <c r="M32" s="117">
        <f>M33+M44</f>
        <v>-1753</v>
      </c>
      <c r="N32" s="117">
        <f>N33+N44</f>
        <v>3120033</v>
      </c>
      <c r="O32" s="128"/>
      <c r="P32" s="117">
        <f aca="true" t="shared" si="18" ref="P32:U32">P33+P44</f>
        <v>0</v>
      </c>
      <c r="Q32" s="117">
        <f t="shared" si="18"/>
        <v>0</v>
      </c>
      <c r="R32" s="117">
        <f t="shared" si="18"/>
        <v>3120033</v>
      </c>
      <c r="S32" s="117">
        <f t="shared" si="18"/>
        <v>0</v>
      </c>
      <c r="T32" s="117">
        <f t="shared" si="18"/>
        <v>0</v>
      </c>
      <c r="U32" s="82">
        <f t="shared" si="18"/>
        <v>3120033</v>
      </c>
      <c r="V32" s="82">
        <f>V33+V44</f>
        <v>0</v>
      </c>
      <c r="W32" s="82">
        <f>W33+W44</f>
        <v>0</v>
      </c>
      <c r="X32" s="82">
        <f>X33+X44</f>
        <v>3120033</v>
      </c>
      <c r="AI32" s="82">
        <f>AI33+AI44</f>
        <v>0</v>
      </c>
      <c r="AJ32" s="82">
        <f>AJ33+AJ44</f>
        <v>3120033</v>
      </c>
      <c r="AK32" s="82">
        <f>AK33+AK44</f>
        <v>0</v>
      </c>
      <c r="AL32" s="82">
        <f>AL33+AL44</f>
        <v>0</v>
      </c>
      <c r="AM32" s="82">
        <f>AM33+AM44</f>
        <v>3120033</v>
      </c>
    </row>
    <row r="33" spans="1:39" s="38" customFormat="1" ht="37.5">
      <c r="A33" s="39"/>
      <c r="B33" s="39">
        <v>252</v>
      </c>
      <c r="C33" s="40"/>
      <c r="D33" s="41" t="s">
        <v>374</v>
      </c>
      <c r="E33" s="42" t="s">
        <v>558</v>
      </c>
      <c r="F33" s="116">
        <f>F34+F35+F36+F37+F38+F39+F40+F41+F43</f>
        <v>3001605</v>
      </c>
      <c r="G33" s="116">
        <f>G34+G35+G36+G37+G38+G39+G40+G41+G43</f>
        <v>0</v>
      </c>
      <c r="H33" s="117">
        <f>SUM(H34:H43)</f>
        <v>3001605</v>
      </c>
      <c r="I33" s="117">
        <f aca="true" t="shared" si="19" ref="I33:N33">SUM(I34:I43)</f>
        <v>0</v>
      </c>
      <c r="J33" s="117">
        <f t="shared" si="19"/>
        <v>0</v>
      </c>
      <c r="K33" s="117">
        <f t="shared" si="19"/>
        <v>3001605</v>
      </c>
      <c r="L33" s="117">
        <f t="shared" si="19"/>
        <v>119428</v>
      </c>
      <c r="M33" s="117">
        <f t="shared" si="19"/>
        <v>-1753</v>
      </c>
      <c r="N33" s="117">
        <f t="shared" si="19"/>
        <v>3119280</v>
      </c>
      <c r="O33" s="128"/>
      <c r="P33" s="117">
        <f aca="true" t="shared" si="20" ref="P33:U33">SUM(P34:P43)</f>
        <v>0</v>
      </c>
      <c r="Q33" s="117">
        <f t="shared" si="20"/>
        <v>0</v>
      </c>
      <c r="R33" s="117">
        <f t="shared" si="20"/>
        <v>3119280</v>
      </c>
      <c r="S33" s="117">
        <f t="shared" si="20"/>
        <v>0</v>
      </c>
      <c r="T33" s="117">
        <f t="shared" si="20"/>
        <v>0</v>
      </c>
      <c r="U33" s="83">
        <f t="shared" si="20"/>
        <v>3119280</v>
      </c>
      <c r="V33" s="83">
        <f>SUM(V34:V43)</f>
        <v>0</v>
      </c>
      <c r="W33" s="83">
        <f>SUM(W34:W43)</f>
        <v>0</v>
      </c>
      <c r="X33" s="83">
        <f>SUM(X34:X43)</f>
        <v>3119280</v>
      </c>
      <c r="AI33" s="83">
        <f>SUM(AI34:AI43)</f>
        <v>0</v>
      </c>
      <c r="AJ33" s="83">
        <f>SUM(AJ34:AJ43)</f>
        <v>3119280</v>
      </c>
      <c r="AK33" s="83">
        <f>SUM(AK34:AK43)</f>
        <v>0</v>
      </c>
      <c r="AL33" s="83">
        <f>SUM(AL34:AL43)</f>
        <v>0</v>
      </c>
      <c r="AM33" s="83">
        <f>SUM(AM34:AM43)</f>
        <v>3119280</v>
      </c>
    </row>
    <row r="34" spans="1:39" s="53" customFormat="1" ht="56.25">
      <c r="A34" s="64"/>
      <c r="B34" s="64"/>
      <c r="C34" s="65">
        <v>1</v>
      </c>
      <c r="D34" s="69" t="s">
        <v>375</v>
      </c>
      <c r="E34" s="67" t="s">
        <v>301</v>
      </c>
      <c r="F34" s="118">
        <v>2738262</v>
      </c>
      <c r="G34" s="118"/>
      <c r="H34" s="109">
        <f aca="true" t="shared" si="21" ref="H34:H41">F34+G34</f>
        <v>2738262</v>
      </c>
      <c r="I34" s="109"/>
      <c r="J34" s="109"/>
      <c r="K34" s="109">
        <f aca="true" t="shared" si="22" ref="K34:K41">H34+I34+J34</f>
        <v>2738262</v>
      </c>
      <c r="L34" s="109">
        <f>112175-2300</f>
        <v>109875</v>
      </c>
      <c r="M34" s="109">
        <f>-753-1000</f>
        <v>-1753</v>
      </c>
      <c r="N34" s="109">
        <f aca="true" t="shared" si="23" ref="N34:N43">K34+L34+M34</f>
        <v>2846384</v>
      </c>
      <c r="O34" s="128"/>
      <c r="P34" s="109"/>
      <c r="Q34" s="109"/>
      <c r="R34" s="109">
        <f aca="true" t="shared" si="24" ref="R34:R45">N34+P34+Q34</f>
        <v>2846384</v>
      </c>
      <c r="S34" s="109"/>
      <c r="T34" s="109"/>
      <c r="U34" s="84">
        <f>Q34+R34</f>
        <v>2846384</v>
      </c>
      <c r="V34" s="84"/>
      <c r="W34" s="84"/>
      <c r="X34" s="84">
        <f aca="true" t="shared" si="25" ref="X34:X45">U34+V34+W34</f>
        <v>2846384</v>
      </c>
      <c r="AI34" s="84"/>
      <c r="AJ34" s="156">
        <f aca="true" t="shared" si="26" ref="AJ34:AJ45">X34+AI34</f>
        <v>2846384</v>
      </c>
      <c r="AK34" s="84"/>
      <c r="AL34" s="84"/>
      <c r="AM34" s="156">
        <f aca="true" t="shared" si="27" ref="AM34:AM45">AJ34+AK34+AL34</f>
        <v>2846384</v>
      </c>
    </row>
    <row r="35" spans="1:39" s="53" customFormat="1" ht="56.25">
      <c r="A35" s="64"/>
      <c r="B35" s="64"/>
      <c r="C35" s="65">
        <v>2</v>
      </c>
      <c r="D35" s="69" t="s">
        <v>376</v>
      </c>
      <c r="E35" s="67" t="s">
        <v>302</v>
      </c>
      <c r="F35" s="118">
        <v>27836</v>
      </c>
      <c r="G35" s="118"/>
      <c r="H35" s="109">
        <f t="shared" si="21"/>
        <v>27836</v>
      </c>
      <c r="I35" s="109"/>
      <c r="J35" s="109"/>
      <c r="K35" s="109">
        <f t="shared" si="22"/>
        <v>27836</v>
      </c>
      <c r="L35" s="109">
        <f>1248+2300</f>
        <v>3548</v>
      </c>
      <c r="M35" s="109"/>
      <c r="N35" s="109">
        <f t="shared" si="23"/>
        <v>31384</v>
      </c>
      <c r="O35" s="128"/>
      <c r="P35" s="109"/>
      <c r="Q35" s="109"/>
      <c r="R35" s="109">
        <f t="shared" si="24"/>
        <v>31384</v>
      </c>
      <c r="S35" s="109"/>
      <c r="T35" s="109"/>
      <c r="U35" s="84">
        <f aca="true" t="shared" si="28" ref="U35:U45">Q35+R35</f>
        <v>31384</v>
      </c>
      <c r="V35" s="84"/>
      <c r="W35" s="84"/>
      <c r="X35" s="84">
        <f t="shared" si="25"/>
        <v>31384</v>
      </c>
      <c r="AI35" s="84"/>
      <c r="AJ35" s="156">
        <f t="shared" si="26"/>
        <v>31384</v>
      </c>
      <c r="AK35" s="84"/>
      <c r="AL35" s="84"/>
      <c r="AM35" s="156">
        <f t="shared" si="27"/>
        <v>31384</v>
      </c>
    </row>
    <row r="36" spans="1:39" s="53" customFormat="1" ht="18.75">
      <c r="A36" s="64"/>
      <c r="B36" s="64"/>
      <c r="C36" s="65">
        <v>3</v>
      </c>
      <c r="D36" s="69" t="s">
        <v>377</v>
      </c>
      <c r="E36" s="67" t="s">
        <v>559</v>
      </c>
      <c r="F36" s="118">
        <v>3348</v>
      </c>
      <c r="G36" s="118"/>
      <c r="H36" s="109">
        <f t="shared" si="21"/>
        <v>3348</v>
      </c>
      <c r="I36" s="109"/>
      <c r="J36" s="109"/>
      <c r="K36" s="109">
        <f t="shared" si="22"/>
        <v>3348</v>
      </c>
      <c r="L36" s="109">
        <v>1000</v>
      </c>
      <c r="M36" s="109"/>
      <c r="N36" s="109">
        <f t="shared" si="23"/>
        <v>4348</v>
      </c>
      <c r="O36" s="128"/>
      <c r="P36" s="109"/>
      <c r="Q36" s="109"/>
      <c r="R36" s="109">
        <f t="shared" si="24"/>
        <v>4348</v>
      </c>
      <c r="S36" s="109"/>
      <c r="T36" s="109"/>
      <c r="U36" s="84">
        <f t="shared" si="28"/>
        <v>4348</v>
      </c>
      <c r="V36" s="84"/>
      <c r="W36" s="84"/>
      <c r="X36" s="84">
        <f t="shared" si="25"/>
        <v>4348</v>
      </c>
      <c r="AI36" s="84"/>
      <c r="AJ36" s="156">
        <f t="shared" si="26"/>
        <v>4348</v>
      </c>
      <c r="AK36" s="84"/>
      <c r="AL36" s="84"/>
      <c r="AM36" s="156">
        <f t="shared" si="27"/>
        <v>4348</v>
      </c>
    </row>
    <row r="37" spans="1:39" s="53" customFormat="1" ht="18.75">
      <c r="A37" s="64"/>
      <c r="B37" s="64"/>
      <c r="C37" s="65">
        <v>5</v>
      </c>
      <c r="D37" s="69" t="s">
        <v>352</v>
      </c>
      <c r="E37" s="67" t="s">
        <v>537</v>
      </c>
      <c r="F37" s="118">
        <v>6264</v>
      </c>
      <c r="G37" s="118"/>
      <c r="H37" s="109">
        <f t="shared" si="21"/>
        <v>6264</v>
      </c>
      <c r="I37" s="109"/>
      <c r="J37" s="109"/>
      <c r="K37" s="109">
        <f t="shared" si="22"/>
        <v>6264</v>
      </c>
      <c r="L37" s="109"/>
      <c r="M37" s="109"/>
      <c r="N37" s="109">
        <f t="shared" si="23"/>
        <v>6264</v>
      </c>
      <c r="O37" s="128"/>
      <c r="P37" s="109"/>
      <c r="Q37" s="109"/>
      <c r="R37" s="109">
        <f t="shared" si="24"/>
        <v>6264</v>
      </c>
      <c r="S37" s="109"/>
      <c r="T37" s="109"/>
      <c r="U37" s="84">
        <f t="shared" si="28"/>
        <v>6264</v>
      </c>
      <c r="V37" s="84"/>
      <c r="W37" s="84"/>
      <c r="X37" s="84">
        <f t="shared" si="25"/>
        <v>6264</v>
      </c>
      <c r="AI37" s="84"/>
      <c r="AJ37" s="156">
        <f t="shared" si="26"/>
        <v>6264</v>
      </c>
      <c r="AK37" s="84"/>
      <c r="AL37" s="84"/>
      <c r="AM37" s="157">
        <f t="shared" si="27"/>
        <v>6264</v>
      </c>
    </row>
    <row r="38" spans="1:39" s="53" customFormat="1" ht="18.75">
      <c r="A38" s="64"/>
      <c r="B38" s="64"/>
      <c r="C38" s="65">
        <v>11</v>
      </c>
      <c r="D38" s="69" t="s">
        <v>353</v>
      </c>
      <c r="E38" s="67" t="s">
        <v>296</v>
      </c>
      <c r="F38" s="118">
        <v>146908</v>
      </c>
      <c r="G38" s="118"/>
      <c r="H38" s="109">
        <f t="shared" si="21"/>
        <v>146908</v>
      </c>
      <c r="I38" s="109"/>
      <c r="J38" s="109"/>
      <c r="K38" s="109">
        <f t="shared" si="22"/>
        <v>146908</v>
      </c>
      <c r="L38" s="109"/>
      <c r="M38" s="109"/>
      <c r="N38" s="109">
        <f t="shared" si="23"/>
        <v>146908</v>
      </c>
      <c r="O38" s="128"/>
      <c r="P38" s="109"/>
      <c r="Q38" s="109"/>
      <c r="R38" s="109">
        <f t="shared" si="24"/>
        <v>146908</v>
      </c>
      <c r="S38" s="109"/>
      <c r="T38" s="109"/>
      <c r="U38" s="84">
        <f t="shared" si="28"/>
        <v>146908</v>
      </c>
      <c r="V38" s="84"/>
      <c r="W38" s="84"/>
      <c r="X38" s="84">
        <f t="shared" si="25"/>
        <v>146908</v>
      </c>
      <c r="AI38" s="84"/>
      <c r="AJ38" s="156">
        <f t="shared" si="26"/>
        <v>146908</v>
      </c>
      <c r="AK38" s="84"/>
      <c r="AL38" s="84"/>
      <c r="AM38" s="157">
        <f t="shared" si="27"/>
        <v>146908</v>
      </c>
    </row>
    <row r="39" spans="1:39" s="53" customFormat="1" ht="37.5">
      <c r="A39" s="64"/>
      <c r="B39" s="64"/>
      <c r="C39" s="65">
        <v>12</v>
      </c>
      <c r="D39" s="69" t="s">
        <v>378</v>
      </c>
      <c r="E39" s="67" t="s">
        <v>303</v>
      </c>
      <c r="F39" s="118">
        <v>26875</v>
      </c>
      <c r="G39" s="118"/>
      <c r="H39" s="109">
        <f t="shared" si="21"/>
        <v>26875</v>
      </c>
      <c r="I39" s="109"/>
      <c r="J39" s="109"/>
      <c r="K39" s="109">
        <f t="shared" si="22"/>
        <v>26875</v>
      </c>
      <c r="L39" s="109">
        <v>861</v>
      </c>
      <c r="M39" s="109"/>
      <c r="N39" s="109">
        <f t="shared" si="23"/>
        <v>27736</v>
      </c>
      <c r="O39" s="128"/>
      <c r="P39" s="109"/>
      <c r="Q39" s="109"/>
      <c r="R39" s="109">
        <f t="shared" si="24"/>
        <v>27736</v>
      </c>
      <c r="S39" s="109"/>
      <c r="T39" s="109"/>
      <c r="U39" s="84">
        <f t="shared" si="28"/>
        <v>27736</v>
      </c>
      <c r="V39" s="84"/>
      <c r="W39" s="84"/>
      <c r="X39" s="84">
        <f t="shared" si="25"/>
        <v>27736</v>
      </c>
      <c r="AI39" s="84"/>
      <c r="AJ39" s="156">
        <f t="shared" si="26"/>
        <v>27736</v>
      </c>
      <c r="AK39" s="84"/>
      <c r="AL39" s="84"/>
      <c r="AM39" s="156">
        <f t="shared" si="27"/>
        <v>27736</v>
      </c>
    </row>
    <row r="40" spans="1:39" s="53" customFormat="1" ht="37.5">
      <c r="A40" s="64"/>
      <c r="B40" s="64"/>
      <c r="C40" s="65">
        <v>13</v>
      </c>
      <c r="D40" s="69" t="s">
        <v>379</v>
      </c>
      <c r="E40" s="67" t="s">
        <v>304</v>
      </c>
      <c r="F40" s="118">
        <v>27947</v>
      </c>
      <c r="G40" s="118"/>
      <c r="H40" s="109">
        <f t="shared" si="21"/>
        <v>27947</v>
      </c>
      <c r="I40" s="109"/>
      <c r="J40" s="109"/>
      <c r="K40" s="109">
        <f t="shared" si="22"/>
        <v>27947</v>
      </c>
      <c r="L40" s="109">
        <v>1056</v>
      </c>
      <c r="M40" s="109"/>
      <c r="N40" s="109">
        <f t="shared" si="23"/>
        <v>29003</v>
      </c>
      <c r="O40" s="128"/>
      <c r="P40" s="109"/>
      <c r="Q40" s="109"/>
      <c r="R40" s="109">
        <f t="shared" si="24"/>
        <v>29003</v>
      </c>
      <c r="S40" s="109"/>
      <c r="T40" s="109"/>
      <c r="U40" s="84">
        <f t="shared" si="28"/>
        <v>29003</v>
      </c>
      <c r="V40" s="84"/>
      <c r="W40" s="84"/>
      <c r="X40" s="84">
        <f t="shared" si="25"/>
        <v>29003</v>
      </c>
      <c r="AI40" s="84"/>
      <c r="AJ40" s="156">
        <f t="shared" si="26"/>
        <v>29003</v>
      </c>
      <c r="AK40" s="84"/>
      <c r="AL40" s="84"/>
      <c r="AM40" s="156">
        <f t="shared" si="27"/>
        <v>29003</v>
      </c>
    </row>
    <row r="41" spans="1:39" s="53" customFormat="1" ht="37.5">
      <c r="A41" s="64"/>
      <c r="B41" s="64"/>
      <c r="C41" s="65">
        <v>14</v>
      </c>
      <c r="D41" s="69" t="s">
        <v>380</v>
      </c>
      <c r="E41" s="67" t="s">
        <v>305</v>
      </c>
      <c r="F41" s="118">
        <v>2394</v>
      </c>
      <c r="G41" s="118"/>
      <c r="H41" s="109">
        <f t="shared" si="21"/>
        <v>2394</v>
      </c>
      <c r="I41" s="109"/>
      <c r="J41" s="109"/>
      <c r="K41" s="109">
        <f t="shared" si="22"/>
        <v>2394</v>
      </c>
      <c r="L41" s="109"/>
      <c r="M41" s="109"/>
      <c r="N41" s="109">
        <f t="shared" si="23"/>
        <v>2394</v>
      </c>
      <c r="O41" s="128"/>
      <c r="P41" s="109"/>
      <c r="Q41" s="109"/>
      <c r="R41" s="109">
        <f t="shared" si="24"/>
        <v>2394</v>
      </c>
      <c r="S41" s="109"/>
      <c r="T41" s="109"/>
      <c r="U41" s="84">
        <f t="shared" si="28"/>
        <v>2394</v>
      </c>
      <c r="V41" s="84"/>
      <c r="W41" s="84"/>
      <c r="X41" s="84">
        <f t="shared" si="25"/>
        <v>2394</v>
      </c>
      <c r="AI41" s="84"/>
      <c r="AJ41" s="156">
        <f t="shared" si="26"/>
        <v>2394</v>
      </c>
      <c r="AK41" s="84"/>
      <c r="AL41" s="84"/>
      <c r="AM41" s="156">
        <f t="shared" si="27"/>
        <v>2394</v>
      </c>
    </row>
    <row r="42" spans="1:39" s="53" customFormat="1" ht="18.75">
      <c r="A42" s="64"/>
      <c r="B42" s="64"/>
      <c r="C42" s="65">
        <v>15</v>
      </c>
      <c r="D42" s="69" t="s">
        <v>381</v>
      </c>
      <c r="E42" s="67" t="s">
        <v>306</v>
      </c>
      <c r="F42" s="118">
        <v>21771</v>
      </c>
      <c r="G42" s="118"/>
      <c r="H42" s="109">
        <f>F42+G42</f>
        <v>21771</v>
      </c>
      <c r="I42" s="109"/>
      <c r="J42" s="109"/>
      <c r="K42" s="109">
        <f>H42+I42+J42</f>
        <v>21771</v>
      </c>
      <c r="L42" s="109">
        <v>690</v>
      </c>
      <c r="M42" s="109"/>
      <c r="N42" s="109">
        <f>K42+L42+M42</f>
        <v>22461</v>
      </c>
      <c r="O42" s="128"/>
      <c r="P42" s="109"/>
      <c r="Q42" s="109"/>
      <c r="R42" s="109">
        <f t="shared" si="24"/>
        <v>22461</v>
      </c>
      <c r="S42" s="109"/>
      <c r="T42" s="109"/>
      <c r="U42" s="84">
        <f t="shared" si="28"/>
        <v>22461</v>
      </c>
      <c r="V42" s="84"/>
      <c r="W42" s="84"/>
      <c r="X42" s="84">
        <f t="shared" si="25"/>
        <v>22461</v>
      </c>
      <c r="AI42" s="84"/>
      <c r="AJ42" s="156">
        <f t="shared" si="26"/>
        <v>22461</v>
      </c>
      <c r="AK42" s="84"/>
      <c r="AL42" s="84"/>
      <c r="AM42" s="156">
        <f t="shared" si="27"/>
        <v>22461</v>
      </c>
    </row>
    <row r="43" spans="1:39" s="53" customFormat="1" ht="18.75">
      <c r="A43" s="64"/>
      <c r="B43" s="64"/>
      <c r="C43" s="65">
        <v>16</v>
      </c>
      <c r="D43" s="69" t="s">
        <v>160</v>
      </c>
      <c r="E43" s="54" t="s">
        <v>114</v>
      </c>
      <c r="F43" s="118">
        <v>21771</v>
      </c>
      <c r="G43" s="118"/>
      <c r="H43" s="109"/>
      <c r="I43" s="109"/>
      <c r="J43" s="109"/>
      <c r="K43" s="109"/>
      <c r="L43" s="109">
        <v>2398</v>
      </c>
      <c r="M43" s="109"/>
      <c r="N43" s="109">
        <f t="shared" si="23"/>
        <v>2398</v>
      </c>
      <c r="O43" s="128"/>
      <c r="P43" s="109"/>
      <c r="Q43" s="109"/>
      <c r="R43" s="109">
        <f t="shared" si="24"/>
        <v>2398</v>
      </c>
      <c r="S43" s="109"/>
      <c r="T43" s="109"/>
      <c r="U43" s="84">
        <f t="shared" si="28"/>
        <v>2398</v>
      </c>
      <c r="V43" s="84"/>
      <c r="W43" s="84"/>
      <c r="X43" s="84">
        <f t="shared" si="25"/>
        <v>2398</v>
      </c>
      <c r="AI43" s="84"/>
      <c r="AJ43" s="156">
        <f t="shared" si="26"/>
        <v>2398</v>
      </c>
      <c r="AK43" s="84"/>
      <c r="AL43" s="84"/>
      <c r="AM43" s="156">
        <f t="shared" si="27"/>
        <v>2398</v>
      </c>
    </row>
    <row r="44" spans="1:39" s="38" customFormat="1" ht="18.75">
      <c r="A44" s="39"/>
      <c r="B44" s="39">
        <v>271</v>
      </c>
      <c r="C44" s="40"/>
      <c r="D44" s="42" t="s">
        <v>401</v>
      </c>
      <c r="E44" s="42" t="s">
        <v>560</v>
      </c>
      <c r="F44" s="116">
        <f aca="true" t="shared" si="29" ref="F44:X44">F45</f>
        <v>0</v>
      </c>
      <c r="G44" s="116">
        <f t="shared" si="29"/>
        <v>0</v>
      </c>
      <c r="H44" s="117">
        <f t="shared" si="29"/>
        <v>0</v>
      </c>
      <c r="I44" s="117">
        <f t="shared" si="29"/>
        <v>0</v>
      </c>
      <c r="J44" s="117">
        <f t="shared" si="29"/>
        <v>0</v>
      </c>
      <c r="K44" s="117">
        <f t="shared" si="29"/>
        <v>0</v>
      </c>
      <c r="L44" s="117">
        <f t="shared" si="29"/>
        <v>753</v>
      </c>
      <c r="M44" s="117">
        <f t="shared" si="29"/>
        <v>0</v>
      </c>
      <c r="N44" s="117">
        <f t="shared" si="29"/>
        <v>753</v>
      </c>
      <c r="O44" s="128"/>
      <c r="P44" s="117">
        <f t="shared" si="29"/>
        <v>0</v>
      </c>
      <c r="Q44" s="117">
        <f t="shared" si="29"/>
        <v>0</v>
      </c>
      <c r="R44" s="117">
        <f t="shared" si="29"/>
        <v>753</v>
      </c>
      <c r="S44" s="117">
        <f t="shared" si="29"/>
        <v>0</v>
      </c>
      <c r="T44" s="117">
        <f t="shared" si="29"/>
        <v>0</v>
      </c>
      <c r="U44" s="83">
        <f t="shared" si="29"/>
        <v>753</v>
      </c>
      <c r="V44" s="83">
        <f t="shared" si="29"/>
        <v>0</v>
      </c>
      <c r="W44" s="83">
        <f t="shared" si="29"/>
        <v>0</v>
      </c>
      <c r="X44" s="83">
        <f t="shared" si="29"/>
        <v>753</v>
      </c>
      <c r="AI44" s="83">
        <f>AI45</f>
        <v>0</v>
      </c>
      <c r="AJ44" s="83">
        <f>AJ45</f>
        <v>753</v>
      </c>
      <c r="AK44" s="83">
        <f>AK45</f>
        <v>0</v>
      </c>
      <c r="AL44" s="83">
        <f>AL45</f>
        <v>0</v>
      </c>
      <c r="AM44" s="83">
        <f>AM45</f>
        <v>753</v>
      </c>
    </row>
    <row r="45" spans="1:39" s="53" customFormat="1" ht="18.75">
      <c r="A45" s="64"/>
      <c r="B45" s="64"/>
      <c r="C45" s="65">
        <v>3</v>
      </c>
      <c r="D45" s="67" t="s">
        <v>128</v>
      </c>
      <c r="E45" s="67" t="s">
        <v>561</v>
      </c>
      <c r="F45" s="118"/>
      <c r="G45" s="118"/>
      <c r="H45" s="109"/>
      <c r="I45" s="109"/>
      <c r="J45" s="109"/>
      <c r="K45" s="109"/>
      <c r="L45" s="109">
        <v>753</v>
      </c>
      <c r="M45" s="109"/>
      <c r="N45" s="109">
        <f>K45+L45+M45</f>
        <v>753</v>
      </c>
      <c r="O45" s="128"/>
      <c r="P45" s="109"/>
      <c r="Q45" s="109"/>
      <c r="R45" s="109">
        <f t="shared" si="24"/>
        <v>753</v>
      </c>
      <c r="S45" s="109"/>
      <c r="T45" s="109"/>
      <c r="U45" s="84">
        <f t="shared" si="28"/>
        <v>753</v>
      </c>
      <c r="V45" s="84"/>
      <c r="W45" s="84"/>
      <c r="X45" s="84">
        <f t="shared" si="25"/>
        <v>753</v>
      </c>
      <c r="AI45" s="84"/>
      <c r="AJ45" s="156">
        <f t="shared" si="26"/>
        <v>753</v>
      </c>
      <c r="AK45" s="84"/>
      <c r="AL45" s="84"/>
      <c r="AM45" s="156">
        <f t="shared" si="27"/>
        <v>753</v>
      </c>
    </row>
    <row r="46" spans="1:39" s="38" customFormat="1" ht="18.75">
      <c r="A46" s="34">
        <v>4</v>
      </c>
      <c r="B46" s="34"/>
      <c r="C46" s="35"/>
      <c r="D46" s="36" t="s">
        <v>382</v>
      </c>
      <c r="E46" s="37" t="s">
        <v>562</v>
      </c>
      <c r="F46" s="116">
        <f aca="true" t="shared" si="30" ref="F46:N46">F47+F49+F52+F55+F79</f>
        <v>5753109</v>
      </c>
      <c r="G46" s="116">
        <f t="shared" si="30"/>
        <v>4080716</v>
      </c>
      <c r="H46" s="117">
        <f t="shared" si="30"/>
        <v>9833825</v>
      </c>
      <c r="I46" s="117">
        <f t="shared" si="30"/>
        <v>0</v>
      </c>
      <c r="J46" s="117">
        <f t="shared" si="30"/>
        <v>0</v>
      </c>
      <c r="K46" s="117">
        <f t="shared" si="30"/>
        <v>9833825</v>
      </c>
      <c r="L46" s="117">
        <f t="shared" si="30"/>
        <v>1181886.5</v>
      </c>
      <c r="M46" s="117">
        <f t="shared" si="30"/>
        <v>-763023.8</v>
      </c>
      <c r="N46" s="117">
        <f t="shared" si="30"/>
        <v>10252687.7</v>
      </c>
      <c r="O46" s="128"/>
      <c r="P46" s="117">
        <f aca="true" t="shared" si="31" ref="P46:X46">P47+P49+P52+P55+P79</f>
        <v>0</v>
      </c>
      <c r="Q46" s="117">
        <f t="shared" si="31"/>
        <v>0</v>
      </c>
      <c r="R46" s="117">
        <f t="shared" si="31"/>
        <v>10252687.7</v>
      </c>
      <c r="S46" s="117">
        <f t="shared" si="31"/>
        <v>0</v>
      </c>
      <c r="T46" s="117">
        <f t="shared" si="31"/>
        <v>0</v>
      </c>
      <c r="U46" s="82">
        <f t="shared" si="31"/>
        <v>10252687.7</v>
      </c>
      <c r="V46" s="82">
        <f t="shared" si="31"/>
        <v>167181.6</v>
      </c>
      <c r="W46" s="82">
        <f t="shared" si="31"/>
        <v>-59479.1</v>
      </c>
      <c r="X46" s="82">
        <f t="shared" si="31"/>
        <v>10360390.2</v>
      </c>
      <c r="AI46" s="82">
        <f>AI47+AI49+AI52+AI55+AI79</f>
        <v>0</v>
      </c>
      <c r="AJ46" s="82">
        <f>AJ47+AJ49+AJ52+AJ55+AJ79</f>
        <v>10360390.2</v>
      </c>
      <c r="AK46" s="82">
        <f>AK47+AK49+AK52+AK55+AK79</f>
        <v>0</v>
      </c>
      <c r="AL46" s="82">
        <f>AL47+AL49+AL52+AL55+AL79</f>
        <v>0</v>
      </c>
      <c r="AM46" s="82">
        <f>AM47+AM49+AM52+AM55+AM79</f>
        <v>10360390.2</v>
      </c>
    </row>
    <row r="47" spans="1:39" s="38" customFormat="1" ht="37.5">
      <c r="A47" s="39"/>
      <c r="B47" s="39">
        <v>252</v>
      </c>
      <c r="C47" s="40"/>
      <c r="D47" s="41" t="s">
        <v>374</v>
      </c>
      <c r="E47" s="42" t="s">
        <v>558</v>
      </c>
      <c r="F47" s="116">
        <f aca="true" t="shared" si="32" ref="F47:X47">F48</f>
        <v>87019</v>
      </c>
      <c r="G47" s="116">
        <f t="shared" si="32"/>
        <v>0</v>
      </c>
      <c r="H47" s="117">
        <f t="shared" si="32"/>
        <v>87019</v>
      </c>
      <c r="I47" s="117">
        <f t="shared" si="32"/>
        <v>0</v>
      </c>
      <c r="J47" s="117">
        <f t="shared" si="32"/>
        <v>0</v>
      </c>
      <c r="K47" s="117">
        <f t="shared" si="32"/>
        <v>87019</v>
      </c>
      <c r="L47" s="117">
        <f t="shared" si="32"/>
        <v>4903</v>
      </c>
      <c r="M47" s="117">
        <f t="shared" si="32"/>
        <v>0</v>
      </c>
      <c r="N47" s="117">
        <f t="shared" si="32"/>
        <v>91922</v>
      </c>
      <c r="O47" s="128"/>
      <c r="P47" s="117">
        <f t="shared" si="32"/>
        <v>0</v>
      </c>
      <c r="Q47" s="117">
        <f t="shared" si="32"/>
        <v>0</v>
      </c>
      <c r="R47" s="117">
        <f t="shared" si="32"/>
        <v>91922</v>
      </c>
      <c r="S47" s="117">
        <f t="shared" si="32"/>
        <v>0</v>
      </c>
      <c r="T47" s="117">
        <f t="shared" si="32"/>
        <v>0</v>
      </c>
      <c r="U47" s="83">
        <f t="shared" si="32"/>
        <v>91922</v>
      </c>
      <c r="V47" s="83">
        <f t="shared" si="32"/>
        <v>0</v>
      </c>
      <c r="W47" s="83">
        <f t="shared" si="32"/>
        <v>0</v>
      </c>
      <c r="X47" s="83">
        <f t="shared" si="32"/>
        <v>91922</v>
      </c>
      <c r="AI47" s="83">
        <f>AI48</f>
        <v>0</v>
      </c>
      <c r="AJ47" s="83">
        <f>AJ48</f>
        <v>91922</v>
      </c>
      <c r="AK47" s="83">
        <f>AK48</f>
        <v>0</v>
      </c>
      <c r="AL47" s="83">
        <f>AL48</f>
        <v>0</v>
      </c>
      <c r="AM47" s="83">
        <f>AM48</f>
        <v>91922</v>
      </c>
    </row>
    <row r="48" spans="1:39" s="53" customFormat="1" ht="18.75">
      <c r="A48" s="64"/>
      <c r="B48" s="64"/>
      <c r="C48" s="65">
        <v>7</v>
      </c>
      <c r="D48" s="55" t="s">
        <v>383</v>
      </c>
      <c r="E48" s="67" t="s">
        <v>563</v>
      </c>
      <c r="F48" s="118">
        <v>87019</v>
      </c>
      <c r="G48" s="118"/>
      <c r="H48" s="109">
        <f>F48+G48</f>
        <v>87019</v>
      </c>
      <c r="I48" s="109"/>
      <c r="J48" s="109"/>
      <c r="K48" s="109">
        <f>H48+I48+J48</f>
        <v>87019</v>
      </c>
      <c r="L48" s="109">
        <f>4903</f>
        <v>4903</v>
      </c>
      <c r="M48" s="109"/>
      <c r="N48" s="109">
        <f>K48+L48+M48</f>
        <v>91922</v>
      </c>
      <c r="O48" s="128"/>
      <c r="P48" s="109"/>
      <c r="Q48" s="109"/>
      <c r="R48" s="109">
        <f>N48+P48+Q48</f>
        <v>91922</v>
      </c>
      <c r="S48" s="109"/>
      <c r="T48" s="109"/>
      <c r="U48" s="84">
        <f>Q48+R48</f>
        <v>91922</v>
      </c>
      <c r="V48" s="84"/>
      <c r="W48" s="84"/>
      <c r="X48" s="84">
        <f>U48+V48+W48</f>
        <v>91922</v>
      </c>
      <c r="AI48" s="84"/>
      <c r="AJ48" s="156">
        <f>X48+AI48</f>
        <v>91922</v>
      </c>
      <c r="AK48" s="84"/>
      <c r="AL48" s="84"/>
      <c r="AM48" s="156">
        <f>AJ48+AK48+AL48</f>
        <v>91922</v>
      </c>
    </row>
    <row r="49" spans="1:39" s="38" customFormat="1" ht="18.75">
      <c r="A49" s="39"/>
      <c r="B49" s="39">
        <v>253</v>
      </c>
      <c r="C49" s="40"/>
      <c r="D49" s="41" t="s">
        <v>384</v>
      </c>
      <c r="E49" s="42" t="s">
        <v>564</v>
      </c>
      <c r="F49" s="116">
        <f aca="true" t="shared" si="33" ref="F49:K49">F50+F51</f>
        <v>127281</v>
      </c>
      <c r="G49" s="116">
        <f t="shared" si="33"/>
        <v>15420</v>
      </c>
      <c r="H49" s="117">
        <f t="shared" si="33"/>
        <v>142701</v>
      </c>
      <c r="I49" s="117">
        <f t="shared" si="33"/>
        <v>0</v>
      </c>
      <c r="J49" s="117">
        <f t="shared" si="33"/>
        <v>0</v>
      </c>
      <c r="K49" s="117">
        <f t="shared" si="33"/>
        <v>142701</v>
      </c>
      <c r="L49" s="117">
        <f>L50+L51</f>
        <v>6494</v>
      </c>
      <c r="M49" s="117">
        <f>M50+M51</f>
        <v>0</v>
      </c>
      <c r="N49" s="117">
        <f>N50+N51</f>
        <v>149195</v>
      </c>
      <c r="O49" s="128"/>
      <c r="P49" s="117">
        <f aca="true" t="shared" si="34" ref="P49:X49">P50+P51</f>
        <v>0</v>
      </c>
      <c r="Q49" s="117">
        <f t="shared" si="34"/>
        <v>0</v>
      </c>
      <c r="R49" s="117">
        <f t="shared" si="34"/>
        <v>149195</v>
      </c>
      <c r="S49" s="117">
        <f t="shared" si="34"/>
        <v>0</v>
      </c>
      <c r="T49" s="117">
        <f t="shared" si="34"/>
        <v>0</v>
      </c>
      <c r="U49" s="83">
        <f t="shared" si="34"/>
        <v>149195</v>
      </c>
      <c r="V49" s="83">
        <f t="shared" si="34"/>
        <v>264</v>
      </c>
      <c r="W49" s="83">
        <f t="shared" si="34"/>
        <v>-264</v>
      </c>
      <c r="X49" s="83">
        <f t="shared" si="34"/>
        <v>149195</v>
      </c>
      <c r="AI49" s="83">
        <f>AI50+AI51</f>
        <v>0</v>
      </c>
      <c r="AJ49" s="83">
        <f>AJ50+AJ51</f>
        <v>149195</v>
      </c>
      <c r="AK49" s="83">
        <f>AK50+AK51</f>
        <v>0</v>
      </c>
      <c r="AL49" s="83">
        <f>AL50+AL51</f>
        <v>0</v>
      </c>
      <c r="AM49" s="83">
        <f>AM50+AM51</f>
        <v>149195</v>
      </c>
    </row>
    <row r="50" spans="1:39" s="38" customFormat="1" ht="18.75">
      <c r="A50" s="44"/>
      <c r="B50" s="44"/>
      <c r="C50" s="45">
        <v>3</v>
      </c>
      <c r="D50" s="47" t="s">
        <v>385</v>
      </c>
      <c r="E50" s="47" t="s">
        <v>563</v>
      </c>
      <c r="F50" s="118">
        <f>16810-936</f>
        <v>15874</v>
      </c>
      <c r="G50" s="118"/>
      <c r="H50" s="109">
        <f>F50+G50</f>
        <v>15874</v>
      </c>
      <c r="I50" s="109"/>
      <c r="J50" s="109"/>
      <c r="K50" s="109">
        <f>H50+I50+J50</f>
        <v>15874</v>
      </c>
      <c r="L50" s="109"/>
      <c r="M50" s="109"/>
      <c r="N50" s="109">
        <f>K50+L50+M50</f>
        <v>15874</v>
      </c>
      <c r="O50" s="128"/>
      <c r="P50" s="109"/>
      <c r="Q50" s="109"/>
      <c r="R50" s="109">
        <f aca="true" t="shared" si="35" ref="R50:R82">N50+P50+Q50</f>
        <v>15874</v>
      </c>
      <c r="S50" s="109"/>
      <c r="T50" s="109"/>
      <c r="U50" s="84">
        <f>Q50+R50</f>
        <v>15874</v>
      </c>
      <c r="V50" s="85">
        <v>264</v>
      </c>
      <c r="W50" s="85"/>
      <c r="X50" s="84">
        <f aca="true" t="shared" si="36" ref="X50:X82">U50+V50+W50</f>
        <v>16138</v>
      </c>
      <c r="AI50" s="85"/>
      <c r="AJ50" s="156">
        <f aca="true" t="shared" si="37" ref="AJ50:AJ82">X50+AI50</f>
        <v>16138</v>
      </c>
      <c r="AK50" s="85"/>
      <c r="AL50" s="85"/>
      <c r="AM50" s="156">
        <f aca="true" t="shared" si="38" ref="AM50:AM82">AJ50+AK50+AL50</f>
        <v>16138</v>
      </c>
    </row>
    <row r="51" spans="1:39" s="38" customFormat="1" ht="37.5">
      <c r="A51" s="44"/>
      <c r="B51" s="44"/>
      <c r="C51" s="45">
        <v>43</v>
      </c>
      <c r="D51" s="46" t="s">
        <v>386</v>
      </c>
      <c r="E51" s="47" t="s">
        <v>565</v>
      </c>
      <c r="F51" s="118">
        <f>118931-7524</f>
        <v>111407</v>
      </c>
      <c r="G51" s="118">
        <v>15420</v>
      </c>
      <c r="H51" s="109">
        <f>F51+G51</f>
        <v>126827</v>
      </c>
      <c r="I51" s="109"/>
      <c r="J51" s="109"/>
      <c r="K51" s="109">
        <f>H51+I51+J51</f>
        <v>126827</v>
      </c>
      <c r="L51" s="109">
        <f>2197+4297</f>
        <v>6494</v>
      </c>
      <c r="M51" s="109"/>
      <c r="N51" s="109">
        <f>K51+L51+M51</f>
        <v>133321</v>
      </c>
      <c r="O51" s="128"/>
      <c r="P51" s="109"/>
      <c r="Q51" s="109"/>
      <c r="R51" s="109">
        <f t="shared" si="35"/>
        <v>133321</v>
      </c>
      <c r="S51" s="109"/>
      <c r="T51" s="109"/>
      <c r="U51" s="84">
        <f>Q51+R51</f>
        <v>133321</v>
      </c>
      <c r="V51" s="85"/>
      <c r="W51" s="85">
        <f>-264</f>
        <v>-264</v>
      </c>
      <c r="X51" s="84">
        <f t="shared" si="36"/>
        <v>133057</v>
      </c>
      <c r="AI51" s="85"/>
      <c r="AJ51" s="156">
        <f t="shared" si="37"/>
        <v>133057</v>
      </c>
      <c r="AK51" s="85"/>
      <c r="AL51" s="85"/>
      <c r="AM51" s="156">
        <f t="shared" si="38"/>
        <v>133057</v>
      </c>
    </row>
    <row r="52" spans="1:39" s="38" customFormat="1" ht="18.75">
      <c r="A52" s="39"/>
      <c r="B52" s="39">
        <v>260</v>
      </c>
      <c r="C52" s="40"/>
      <c r="D52" s="42" t="s">
        <v>387</v>
      </c>
      <c r="E52" s="42" t="s">
        <v>566</v>
      </c>
      <c r="F52" s="116">
        <f aca="true" t="shared" si="39" ref="F52:K52">F53+F54</f>
        <v>834684</v>
      </c>
      <c r="G52" s="116">
        <f t="shared" si="39"/>
        <v>0</v>
      </c>
      <c r="H52" s="117">
        <f t="shared" si="39"/>
        <v>834684</v>
      </c>
      <c r="I52" s="117">
        <f t="shared" si="39"/>
        <v>0</v>
      </c>
      <c r="J52" s="117">
        <f t="shared" si="39"/>
        <v>0</v>
      </c>
      <c r="K52" s="117">
        <f t="shared" si="39"/>
        <v>834684</v>
      </c>
      <c r="L52" s="117">
        <f>L53+L54</f>
        <v>34728</v>
      </c>
      <c r="M52" s="117">
        <f>M53+M54</f>
        <v>0</v>
      </c>
      <c r="N52" s="117">
        <f>N53+N54</f>
        <v>869412</v>
      </c>
      <c r="O52" s="128"/>
      <c r="P52" s="117">
        <f aca="true" t="shared" si="40" ref="P52:X52">P53+P54</f>
        <v>0</v>
      </c>
      <c r="Q52" s="117">
        <f t="shared" si="40"/>
        <v>0</v>
      </c>
      <c r="R52" s="117">
        <f t="shared" si="40"/>
        <v>869412</v>
      </c>
      <c r="S52" s="117">
        <f t="shared" si="40"/>
        <v>0</v>
      </c>
      <c r="T52" s="117">
        <f t="shared" si="40"/>
        <v>0</v>
      </c>
      <c r="U52" s="83">
        <f t="shared" si="40"/>
        <v>869412</v>
      </c>
      <c r="V52" s="83">
        <f t="shared" si="40"/>
        <v>16680</v>
      </c>
      <c r="W52" s="83">
        <f t="shared" si="40"/>
        <v>0</v>
      </c>
      <c r="X52" s="83">
        <f t="shared" si="40"/>
        <v>886092</v>
      </c>
      <c r="AI52" s="83">
        <f>AI53+AI54</f>
        <v>0</v>
      </c>
      <c r="AJ52" s="83">
        <f>AJ53+AJ54</f>
        <v>886092</v>
      </c>
      <c r="AK52" s="83">
        <f>AK53+AK54</f>
        <v>0</v>
      </c>
      <c r="AL52" s="83">
        <f>AL53+AL54</f>
        <v>0</v>
      </c>
      <c r="AM52" s="83">
        <f>AM53+AM54</f>
        <v>886092</v>
      </c>
    </row>
    <row r="53" spans="1:39" s="53" customFormat="1" ht="18.75">
      <c r="A53" s="64"/>
      <c r="B53" s="64"/>
      <c r="C53" s="65">
        <v>6</v>
      </c>
      <c r="D53" s="55" t="s">
        <v>388</v>
      </c>
      <c r="E53" s="54" t="s">
        <v>307</v>
      </c>
      <c r="F53" s="118">
        <v>679215</v>
      </c>
      <c r="G53" s="118"/>
      <c r="H53" s="109">
        <f>F53+G53</f>
        <v>679215</v>
      </c>
      <c r="I53" s="109"/>
      <c r="J53" s="109"/>
      <c r="K53" s="109">
        <f>H53+I53+J53</f>
        <v>679215</v>
      </c>
      <c r="L53" s="109">
        <f>19388.2</f>
        <v>19388.2</v>
      </c>
      <c r="M53" s="109"/>
      <c r="N53" s="109">
        <f>K53+L53+M53</f>
        <v>698603.2</v>
      </c>
      <c r="O53" s="128"/>
      <c r="P53" s="109"/>
      <c r="Q53" s="109"/>
      <c r="R53" s="109">
        <f t="shared" si="35"/>
        <v>698603.2</v>
      </c>
      <c r="S53" s="109"/>
      <c r="T53" s="109"/>
      <c r="U53" s="84">
        <f>Q53+R53</f>
        <v>698603.2</v>
      </c>
      <c r="V53" s="84">
        <f>16000+680</f>
        <v>16680</v>
      </c>
      <c r="W53" s="84"/>
      <c r="X53" s="84">
        <f t="shared" si="36"/>
        <v>715283.2</v>
      </c>
      <c r="AI53" s="84"/>
      <c r="AJ53" s="156">
        <f t="shared" si="37"/>
        <v>715283.2</v>
      </c>
      <c r="AK53" s="84"/>
      <c r="AL53" s="84"/>
      <c r="AM53" s="156">
        <f t="shared" si="38"/>
        <v>715283.2</v>
      </c>
    </row>
    <row r="54" spans="1:39" s="53" customFormat="1" ht="37.5">
      <c r="A54" s="64"/>
      <c r="B54" s="64"/>
      <c r="C54" s="65">
        <v>7</v>
      </c>
      <c r="D54" s="55" t="s">
        <v>529</v>
      </c>
      <c r="E54" s="54" t="s">
        <v>528</v>
      </c>
      <c r="F54" s="118">
        <v>155469</v>
      </c>
      <c r="G54" s="118"/>
      <c r="H54" s="109">
        <f>F54+G54</f>
        <v>155469</v>
      </c>
      <c r="I54" s="109"/>
      <c r="J54" s="109"/>
      <c r="K54" s="109">
        <f>H54+I54+J54</f>
        <v>155469</v>
      </c>
      <c r="L54" s="109">
        <f>5339.8+10000</f>
        <v>15339.8</v>
      </c>
      <c r="M54" s="109"/>
      <c r="N54" s="109">
        <f>K54+L54+M54</f>
        <v>170808.8</v>
      </c>
      <c r="O54" s="128"/>
      <c r="P54" s="109"/>
      <c r="Q54" s="109"/>
      <c r="R54" s="109">
        <f t="shared" si="35"/>
        <v>170808.8</v>
      </c>
      <c r="S54" s="109"/>
      <c r="T54" s="109"/>
      <c r="U54" s="84">
        <f>Q54+R54</f>
        <v>170808.8</v>
      </c>
      <c r="V54" s="84"/>
      <c r="W54" s="84"/>
      <c r="X54" s="84">
        <f t="shared" si="36"/>
        <v>170808.8</v>
      </c>
      <c r="AI54" s="84"/>
      <c r="AJ54" s="156">
        <f t="shared" si="37"/>
        <v>170808.8</v>
      </c>
      <c r="AK54" s="84"/>
      <c r="AL54" s="84"/>
      <c r="AM54" s="156">
        <f t="shared" si="38"/>
        <v>170808.8</v>
      </c>
    </row>
    <row r="55" spans="1:39" s="38" customFormat="1" ht="18.75">
      <c r="A55" s="39"/>
      <c r="B55" s="39">
        <v>261</v>
      </c>
      <c r="C55" s="40"/>
      <c r="D55" s="41" t="s">
        <v>389</v>
      </c>
      <c r="E55" s="42" t="s">
        <v>567</v>
      </c>
      <c r="F55" s="116">
        <f aca="true" t="shared" si="41" ref="F55:N55">SUM(F56:F78)</f>
        <v>4622786</v>
      </c>
      <c r="G55" s="116">
        <f t="shared" si="41"/>
        <v>1802061</v>
      </c>
      <c r="H55" s="117">
        <f t="shared" si="41"/>
        <v>6424847</v>
      </c>
      <c r="I55" s="117">
        <f t="shared" si="41"/>
        <v>0</v>
      </c>
      <c r="J55" s="117">
        <f t="shared" si="41"/>
        <v>0</v>
      </c>
      <c r="K55" s="117">
        <f t="shared" si="41"/>
        <v>6424847</v>
      </c>
      <c r="L55" s="117">
        <f t="shared" si="41"/>
        <v>499073.3</v>
      </c>
      <c r="M55" s="117">
        <f t="shared" si="41"/>
        <v>-3023.8</v>
      </c>
      <c r="N55" s="117">
        <f t="shared" si="41"/>
        <v>6920896.5</v>
      </c>
      <c r="O55" s="128"/>
      <c r="P55" s="117">
        <f aca="true" t="shared" si="42" ref="P55:X55">SUM(P56:P78)</f>
        <v>0</v>
      </c>
      <c r="Q55" s="117">
        <f t="shared" si="42"/>
        <v>0</v>
      </c>
      <c r="R55" s="117">
        <f t="shared" si="42"/>
        <v>6920896.5</v>
      </c>
      <c r="S55" s="117">
        <f t="shared" si="42"/>
        <v>0</v>
      </c>
      <c r="T55" s="117">
        <f t="shared" si="42"/>
        <v>0</v>
      </c>
      <c r="U55" s="83">
        <f t="shared" si="42"/>
        <v>6920896.5</v>
      </c>
      <c r="V55" s="83">
        <f t="shared" si="42"/>
        <v>132477.1</v>
      </c>
      <c r="W55" s="83">
        <f t="shared" si="42"/>
        <v>-35885.1</v>
      </c>
      <c r="X55" s="83">
        <f t="shared" si="42"/>
        <v>7017488.5</v>
      </c>
      <c r="AI55" s="83">
        <f>SUM(AI56:AI78)</f>
        <v>0</v>
      </c>
      <c r="AJ55" s="83">
        <f>SUM(AJ56:AJ78)</f>
        <v>7017488.5</v>
      </c>
      <c r="AK55" s="83">
        <f>SUM(AK56:AK78)</f>
        <v>0</v>
      </c>
      <c r="AL55" s="83">
        <f>SUM(AL56:AL78)</f>
        <v>0</v>
      </c>
      <c r="AM55" s="83">
        <f>SUM(AM56:AM78)</f>
        <v>7017488.5</v>
      </c>
    </row>
    <row r="56" spans="1:39" s="53" customFormat="1" ht="37.5">
      <c r="A56" s="64"/>
      <c r="B56" s="64"/>
      <c r="C56" s="65">
        <v>1</v>
      </c>
      <c r="D56" s="55" t="s">
        <v>390</v>
      </c>
      <c r="E56" s="54" t="s">
        <v>308</v>
      </c>
      <c r="F56" s="118">
        <v>74452</v>
      </c>
      <c r="G56" s="118"/>
      <c r="H56" s="109">
        <f aca="true" t="shared" si="43" ref="H56:H78">F56+G56</f>
        <v>74452</v>
      </c>
      <c r="I56" s="109"/>
      <c r="J56" s="109"/>
      <c r="K56" s="109">
        <f aca="true" t="shared" si="44" ref="K56:K76">H56+I56+J56</f>
        <v>74452</v>
      </c>
      <c r="L56" s="109">
        <f>1858</f>
        <v>1858</v>
      </c>
      <c r="M56" s="109"/>
      <c r="N56" s="109">
        <f aca="true" t="shared" si="45" ref="N56:N76">K56+L56+M56</f>
        <v>76310</v>
      </c>
      <c r="O56" s="128"/>
      <c r="P56" s="109"/>
      <c r="Q56" s="109"/>
      <c r="R56" s="109">
        <f t="shared" si="35"/>
        <v>76310</v>
      </c>
      <c r="S56" s="109"/>
      <c r="T56" s="109"/>
      <c r="U56" s="84">
        <f>Q56+R56</f>
        <v>76310</v>
      </c>
      <c r="V56" s="84"/>
      <c r="W56" s="84"/>
      <c r="X56" s="84">
        <f t="shared" si="36"/>
        <v>76310</v>
      </c>
      <c r="AI56" s="84"/>
      <c r="AJ56" s="156">
        <f t="shared" si="37"/>
        <v>76310</v>
      </c>
      <c r="AK56" s="84"/>
      <c r="AL56" s="84"/>
      <c r="AM56" s="156">
        <f t="shared" si="38"/>
        <v>76310</v>
      </c>
    </row>
    <row r="57" spans="1:39" s="53" customFormat="1" ht="18.75">
      <c r="A57" s="64"/>
      <c r="B57" s="64"/>
      <c r="C57" s="65">
        <v>2</v>
      </c>
      <c r="D57" s="55" t="s">
        <v>352</v>
      </c>
      <c r="E57" s="67" t="s">
        <v>537</v>
      </c>
      <c r="F57" s="118">
        <v>2513</v>
      </c>
      <c r="G57" s="118"/>
      <c r="H57" s="109">
        <f t="shared" si="43"/>
        <v>2513</v>
      </c>
      <c r="I57" s="109"/>
      <c r="J57" s="109"/>
      <c r="K57" s="109">
        <f t="shared" si="44"/>
        <v>2513</v>
      </c>
      <c r="L57" s="109"/>
      <c r="M57" s="109"/>
      <c r="N57" s="109">
        <f t="shared" si="45"/>
        <v>2513</v>
      </c>
      <c r="O57" s="128"/>
      <c r="P57" s="109"/>
      <c r="Q57" s="109"/>
      <c r="R57" s="109">
        <f t="shared" si="35"/>
        <v>2513</v>
      </c>
      <c r="S57" s="109"/>
      <c r="T57" s="109"/>
      <c r="U57" s="84">
        <f>Q57+R57</f>
        <v>2513</v>
      </c>
      <c r="V57" s="84"/>
      <c r="W57" s="84"/>
      <c r="X57" s="84">
        <f t="shared" si="36"/>
        <v>2513</v>
      </c>
      <c r="AI57" s="84"/>
      <c r="AJ57" s="156">
        <f t="shared" si="37"/>
        <v>2513</v>
      </c>
      <c r="AK57" s="84"/>
      <c r="AL57" s="84"/>
      <c r="AM57" s="156">
        <f t="shared" si="38"/>
        <v>2513</v>
      </c>
    </row>
    <row r="58" spans="1:39" s="53" customFormat="1" ht="37.5">
      <c r="A58" s="64"/>
      <c r="B58" s="64"/>
      <c r="C58" s="65">
        <v>3</v>
      </c>
      <c r="D58" s="55" t="s">
        <v>391</v>
      </c>
      <c r="E58" s="67" t="s">
        <v>568</v>
      </c>
      <c r="F58" s="118">
        <v>365629</v>
      </c>
      <c r="G58" s="118"/>
      <c r="H58" s="109">
        <f t="shared" si="43"/>
        <v>365629</v>
      </c>
      <c r="I58" s="109"/>
      <c r="J58" s="109"/>
      <c r="K58" s="109">
        <f t="shared" si="44"/>
        <v>365629</v>
      </c>
      <c r="L58" s="109">
        <v>3081</v>
      </c>
      <c r="M58" s="109"/>
      <c r="N58" s="109">
        <f t="shared" si="45"/>
        <v>368710</v>
      </c>
      <c r="O58" s="128"/>
      <c r="P58" s="109"/>
      <c r="Q58" s="109"/>
      <c r="R58" s="109">
        <f t="shared" si="35"/>
        <v>368710</v>
      </c>
      <c r="S58" s="109"/>
      <c r="T58" s="109"/>
      <c r="U58" s="84">
        <f aca="true" t="shared" si="46" ref="U58:U82">Q58+R58</f>
        <v>368710</v>
      </c>
      <c r="V58" s="84">
        <v>50882</v>
      </c>
      <c r="W58" s="84"/>
      <c r="X58" s="84">
        <f t="shared" si="36"/>
        <v>419592</v>
      </c>
      <c r="AI58" s="84"/>
      <c r="AJ58" s="156">
        <f t="shared" si="37"/>
        <v>419592</v>
      </c>
      <c r="AK58" s="84"/>
      <c r="AL58" s="84"/>
      <c r="AM58" s="156">
        <f t="shared" si="38"/>
        <v>419592</v>
      </c>
    </row>
    <row r="59" spans="1:39" s="53" customFormat="1" ht="37.5">
      <c r="A59" s="64"/>
      <c r="B59" s="64"/>
      <c r="C59" s="65">
        <v>4</v>
      </c>
      <c r="D59" s="55" t="s">
        <v>392</v>
      </c>
      <c r="E59" s="67" t="s">
        <v>569</v>
      </c>
      <c r="F59" s="118">
        <v>39852</v>
      </c>
      <c r="G59" s="118"/>
      <c r="H59" s="109">
        <f t="shared" si="43"/>
        <v>39852</v>
      </c>
      <c r="I59" s="109"/>
      <c r="J59" s="109"/>
      <c r="K59" s="109">
        <f t="shared" si="44"/>
        <v>39852</v>
      </c>
      <c r="L59" s="109"/>
      <c r="M59" s="109"/>
      <c r="N59" s="109">
        <f t="shared" si="45"/>
        <v>39852</v>
      </c>
      <c r="O59" s="128"/>
      <c r="P59" s="109"/>
      <c r="Q59" s="109"/>
      <c r="R59" s="109">
        <f t="shared" si="35"/>
        <v>39852</v>
      </c>
      <c r="S59" s="109"/>
      <c r="T59" s="109"/>
      <c r="U59" s="84">
        <f t="shared" si="46"/>
        <v>39852</v>
      </c>
      <c r="V59" s="84"/>
      <c r="W59" s="84"/>
      <c r="X59" s="84">
        <f t="shared" si="36"/>
        <v>39852</v>
      </c>
      <c r="AI59" s="84"/>
      <c r="AJ59" s="156">
        <f t="shared" si="37"/>
        <v>39852</v>
      </c>
      <c r="AK59" s="84"/>
      <c r="AL59" s="84"/>
      <c r="AM59" s="157">
        <f t="shared" si="38"/>
        <v>39852</v>
      </c>
    </row>
    <row r="60" spans="1:39" s="53" customFormat="1" ht="37.5">
      <c r="A60" s="64"/>
      <c r="B60" s="64"/>
      <c r="C60" s="65">
        <v>5</v>
      </c>
      <c r="D60" s="55" t="s">
        <v>393</v>
      </c>
      <c r="E60" s="67" t="s">
        <v>570</v>
      </c>
      <c r="F60" s="118">
        <v>48302</v>
      </c>
      <c r="G60" s="118">
        <v>1522</v>
      </c>
      <c r="H60" s="109">
        <f t="shared" si="43"/>
        <v>49824</v>
      </c>
      <c r="I60" s="109"/>
      <c r="J60" s="109"/>
      <c r="K60" s="109">
        <f t="shared" si="44"/>
        <v>49824</v>
      </c>
      <c r="L60" s="109"/>
      <c r="M60" s="109"/>
      <c r="N60" s="109">
        <f t="shared" si="45"/>
        <v>49824</v>
      </c>
      <c r="O60" s="128"/>
      <c r="P60" s="109"/>
      <c r="Q60" s="109"/>
      <c r="R60" s="109">
        <f t="shared" si="35"/>
        <v>49824</v>
      </c>
      <c r="S60" s="109"/>
      <c r="T60" s="109"/>
      <c r="U60" s="84">
        <f t="shared" si="46"/>
        <v>49824</v>
      </c>
      <c r="V60" s="84"/>
      <c r="W60" s="84"/>
      <c r="X60" s="84">
        <f t="shared" si="36"/>
        <v>49824</v>
      </c>
      <c r="AI60" s="84"/>
      <c r="AJ60" s="156">
        <f t="shared" si="37"/>
        <v>49824</v>
      </c>
      <c r="AK60" s="84"/>
      <c r="AL60" s="84"/>
      <c r="AM60" s="157">
        <f t="shared" si="38"/>
        <v>49824</v>
      </c>
    </row>
    <row r="61" spans="1:39" s="53" customFormat="1" ht="37.5">
      <c r="A61" s="64"/>
      <c r="B61" s="64"/>
      <c r="C61" s="65">
        <v>6</v>
      </c>
      <c r="D61" s="55" t="s">
        <v>394</v>
      </c>
      <c r="E61" s="67" t="s">
        <v>571</v>
      </c>
      <c r="F61" s="118">
        <v>490323</v>
      </c>
      <c r="G61" s="118">
        <v>9638</v>
      </c>
      <c r="H61" s="109">
        <f t="shared" si="43"/>
        <v>499961</v>
      </c>
      <c r="I61" s="109"/>
      <c r="J61" s="109"/>
      <c r="K61" s="109">
        <f t="shared" si="44"/>
        <v>499961</v>
      </c>
      <c r="L61" s="109">
        <f>1715.1+2000+1+2311.8</f>
        <v>6027.9</v>
      </c>
      <c r="M61" s="109"/>
      <c r="N61" s="109">
        <f t="shared" si="45"/>
        <v>505988.9</v>
      </c>
      <c r="O61" s="128"/>
      <c r="P61" s="109"/>
      <c r="Q61" s="109"/>
      <c r="R61" s="109">
        <f t="shared" si="35"/>
        <v>505988.9</v>
      </c>
      <c r="S61" s="109"/>
      <c r="T61" s="109"/>
      <c r="U61" s="84">
        <f t="shared" si="46"/>
        <v>505988.9</v>
      </c>
      <c r="V61" s="84"/>
      <c r="W61" s="84"/>
      <c r="X61" s="84">
        <f t="shared" si="36"/>
        <v>505988.9</v>
      </c>
      <c r="AI61" s="84"/>
      <c r="AJ61" s="156">
        <f t="shared" si="37"/>
        <v>505988.9</v>
      </c>
      <c r="AK61" s="84"/>
      <c r="AL61" s="84"/>
      <c r="AM61" s="156">
        <f t="shared" si="38"/>
        <v>505988.9</v>
      </c>
    </row>
    <row r="62" spans="1:39" s="53" customFormat="1" ht="37.5">
      <c r="A62" s="64"/>
      <c r="B62" s="64"/>
      <c r="C62" s="65">
        <v>7</v>
      </c>
      <c r="D62" s="55" t="s">
        <v>395</v>
      </c>
      <c r="E62" s="67" t="s">
        <v>572</v>
      </c>
      <c r="F62" s="118">
        <v>15514</v>
      </c>
      <c r="G62" s="118"/>
      <c r="H62" s="109">
        <f t="shared" si="43"/>
        <v>15514</v>
      </c>
      <c r="I62" s="109"/>
      <c r="J62" s="109"/>
      <c r="K62" s="109">
        <f t="shared" si="44"/>
        <v>15514</v>
      </c>
      <c r="L62" s="109"/>
      <c r="M62" s="109"/>
      <c r="N62" s="109">
        <f t="shared" si="45"/>
        <v>15514</v>
      </c>
      <c r="O62" s="128"/>
      <c r="P62" s="109"/>
      <c r="Q62" s="109"/>
      <c r="R62" s="109">
        <f t="shared" si="35"/>
        <v>15514</v>
      </c>
      <c r="S62" s="109"/>
      <c r="T62" s="109"/>
      <c r="U62" s="84">
        <f t="shared" si="46"/>
        <v>15514</v>
      </c>
      <c r="V62" s="84"/>
      <c r="W62" s="84"/>
      <c r="X62" s="84">
        <f t="shared" si="36"/>
        <v>15514</v>
      </c>
      <c r="AI62" s="84"/>
      <c r="AJ62" s="156">
        <f t="shared" si="37"/>
        <v>15514</v>
      </c>
      <c r="AK62" s="84"/>
      <c r="AL62" s="84"/>
      <c r="AM62" s="156">
        <f t="shared" si="38"/>
        <v>15514</v>
      </c>
    </row>
    <row r="63" spans="1:39" s="53" customFormat="1" ht="37.5">
      <c r="A63" s="64"/>
      <c r="B63" s="64"/>
      <c r="C63" s="65">
        <v>8</v>
      </c>
      <c r="D63" s="55" t="s">
        <v>396</v>
      </c>
      <c r="E63" s="54" t="s">
        <v>309</v>
      </c>
      <c r="F63" s="118">
        <v>67860</v>
      </c>
      <c r="G63" s="118">
        <v>228797</v>
      </c>
      <c r="H63" s="109">
        <f t="shared" si="43"/>
        <v>296657</v>
      </c>
      <c r="I63" s="109"/>
      <c r="J63" s="109"/>
      <c r="K63" s="109">
        <f t="shared" si="44"/>
        <v>296657</v>
      </c>
      <c r="L63" s="109">
        <f>2478.8+529.6</f>
        <v>3008.4</v>
      </c>
      <c r="M63" s="109"/>
      <c r="N63" s="109">
        <f t="shared" si="45"/>
        <v>299665.4</v>
      </c>
      <c r="O63" s="128"/>
      <c r="P63" s="109"/>
      <c r="Q63" s="109"/>
      <c r="R63" s="109">
        <f t="shared" si="35"/>
        <v>299665.4</v>
      </c>
      <c r="S63" s="109"/>
      <c r="T63" s="109"/>
      <c r="U63" s="84">
        <f t="shared" si="46"/>
        <v>299665.4</v>
      </c>
      <c r="V63" s="84">
        <v>15885.1</v>
      </c>
      <c r="W63" s="84">
        <f>-6108.7-9220.8</f>
        <v>-15329.5</v>
      </c>
      <c r="X63" s="84">
        <f t="shared" si="36"/>
        <v>300221</v>
      </c>
      <c r="AI63" s="84"/>
      <c r="AJ63" s="156">
        <f t="shared" si="37"/>
        <v>300221</v>
      </c>
      <c r="AK63" s="84"/>
      <c r="AL63" s="84"/>
      <c r="AM63" s="156">
        <f t="shared" si="38"/>
        <v>300221</v>
      </c>
    </row>
    <row r="64" spans="1:39" s="53" customFormat="1" ht="18.75">
      <c r="A64" s="64"/>
      <c r="B64" s="64"/>
      <c r="C64" s="65">
        <v>10</v>
      </c>
      <c r="D64" s="67" t="s">
        <v>383</v>
      </c>
      <c r="E64" s="67" t="s">
        <v>563</v>
      </c>
      <c r="F64" s="118">
        <v>98055</v>
      </c>
      <c r="G64" s="118"/>
      <c r="H64" s="109">
        <f t="shared" si="43"/>
        <v>98055</v>
      </c>
      <c r="I64" s="109"/>
      <c r="J64" s="109"/>
      <c r="K64" s="109">
        <f t="shared" si="44"/>
        <v>98055</v>
      </c>
      <c r="L64" s="109">
        <f>3250+10000</f>
        <v>13250</v>
      </c>
      <c r="M64" s="109"/>
      <c r="N64" s="109">
        <f t="shared" si="45"/>
        <v>111305</v>
      </c>
      <c r="O64" s="128"/>
      <c r="P64" s="109"/>
      <c r="Q64" s="109"/>
      <c r="R64" s="109">
        <f t="shared" si="35"/>
        <v>111305</v>
      </c>
      <c r="S64" s="109"/>
      <c r="T64" s="109"/>
      <c r="U64" s="84">
        <f t="shared" si="46"/>
        <v>111305</v>
      </c>
      <c r="V64" s="84"/>
      <c r="W64" s="84"/>
      <c r="X64" s="84">
        <f t="shared" si="36"/>
        <v>111305</v>
      </c>
      <c r="AI64" s="84"/>
      <c r="AJ64" s="156">
        <f t="shared" si="37"/>
        <v>111305</v>
      </c>
      <c r="AK64" s="84"/>
      <c r="AL64" s="84"/>
      <c r="AM64" s="156">
        <f t="shared" si="38"/>
        <v>111305</v>
      </c>
    </row>
    <row r="65" spans="1:39" s="53" customFormat="1" ht="56.25">
      <c r="A65" s="64"/>
      <c r="B65" s="64"/>
      <c r="C65" s="65">
        <v>11</v>
      </c>
      <c r="D65" s="55" t="s">
        <v>397</v>
      </c>
      <c r="E65" s="67" t="s">
        <v>573</v>
      </c>
      <c r="F65" s="118">
        <v>52716</v>
      </c>
      <c r="G65" s="118"/>
      <c r="H65" s="109">
        <f t="shared" si="43"/>
        <v>52716</v>
      </c>
      <c r="I65" s="109"/>
      <c r="J65" s="109"/>
      <c r="K65" s="109">
        <f t="shared" si="44"/>
        <v>52716</v>
      </c>
      <c r="L65" s="109">
        <v>1672</v>
      </c>
      <c r="M65" s="109"/>
      <c r="N65" s="109">
        <f t="shared" si="45"/>
        <v>54388</v>
      </c>
      <c r="O65" s="128"/>
      <c r="P65" s="109"/>
      <c r="Q65" s="109"/>
      <c r="R65" s="109">
        <f t="shared" si="35"/>
        <v>54388</v>
      </c>
      <c r="S65" s="109"/>
      <c r="T65" s="109"/>
      <c r="U65" s="84">
        <f t="shared" si="46"/>
        <v>54388</v>
      </c>
      <c r="V65" s="84">
        <v>4600</v>
      </c>
      <c r="W65" s="84"/>
      <c r="X65" s="84">
        <f t="shared" si="36"/>
        <v>58988</v>
      </c>
      <c r="AI65" s="84"/>
      <c r="AJ65" s="156">
        <f t="shared" si="37"/>
        <v>58988</v>
      </c>
      <c r="AK65" s="84"/>
      <c r="AL65" s="84"/>
      <c r="AM65" s="156">
        <f t="shared" si="38"/>
        <v>58988</v>
      </c>
    </row>
    <row r="66" spans="1:39" s="53" customFormat="1" ht="18.75">
      <c r="A66" s="64"/>
      <c r="B66" s="64"/>
      <c r="C66" s="65">
        <v>14</v>
      </c>
      <c r="D66" s="67" t="s">
        <v>353</v>
      </c>
      <c r="E66" s="67" t="s">
        <v>296</v>
      </c>
      <c r="F66" s="118"/>
      <c r="G66" s="118"/>
      <c r="H66" s="109"/>
      <c r="I66" s="109"/>
      <c r="J66" s="109"/>
      <c r="K66" s="109"/>
      <c r="L66" s="109">
        <v>600</v>
      </c>
      <c r="M66" s="109"/>
      <c r="N66" s="109">
        <f t="shared" si="45"/>
        <v>600</v>
      </c>
      <c r="O66" s="128"/>
      <c r="P66" s="109"/>
      <c r="Q66" s="109"/>
      <c r="R66" s="109">
        <f t="shared" si="35"/>
        <v>600</v>
      </c>
      <c r="S66" s="109"/>
      <c r="T66" s="109"/>
      <c r="U66" s="84">
        <f t="shared" si="46"/>
        <v>600</v>
      </c>
      <c r="V66" s="84"/>
      <c r="W66" s="84"/>
      <c r="X66" s="84">
        <f t="shared" si="36"/>
        <v>600</v>
      </c>
      <c r="AI66" s="84"/>
      <c r="AJ66" s="156">
        <f t="shared" si="37"/>
        <v>600</v>
      </c>
      <c r="AK66" s="84"/>
      <c r="AL66" s="84"/>
      <c r="AM66" s="156">
        <f t="shared" si="38"/>
        <v>600</v>
      </c>
    </row>
    <row r="67" spans="1:39" s="53" customFormat="1" ht="75">
      <c r="A67" s="64"/>
      <c r="B67" s="64"/>
      <c r="C67" s="65">
        <v>16</v>
      </c>
      <c r="D67" s="67" t="s">
        <v>151</v>
      </c>
      <c r="E67" s="67" t="s">
        <v>149</v>
      </c>
      <c r="F67" s="118"/>
      <c r="G67" s="118"/>
      <c r="H67" s="109"/>
      <c r="I67" s="109"/>
      <c r="J67" s="109"/>
      <c r="K67" s="109">
        <v>431418</v>
      </c>
      <c r="L67" s="109"/>
      <c r="M67" s="109"/>
      <c r="N67" s="109">
        <f t="shared" si="45"/>
        <v>431418</v>
      </c>
      <c r="O67" s="128"/>
      <c r="P67" s="109"/>
      <c r="Q67" s="109"/>
      <c r="R67" s="109">
        <f t="shared" si="35"/>
        <v>431418</v>
      </c>
      <c r="S67" s="109"/>
      <c r="T67" s="109"/>
      <c r="U67" s="84">
        <f t="shared" si="46"/>
        <v>431418</v>
      </c>
      <c r="V67" s="84">
        <v>20000</v>
      </c>
      <c r="W67" s="84">
        <f>-18335.9</f>
        <v>-18335.9</v>
      </c>
      <c r="X67" s="84">
        <f t="shared" si="36"/>
        <v>433082.1</v>
      </c>
      <c r="AI67" s="84"/>
      <c r="AJ67" s="156">
        <f t="shared" si="37"/>
        <v>433082.1</v>
      </c>
      <c r="AK67" s="84"/>
      <c r="AL67" s="84"/>
      <c r="AM67" s="156">
        <f t="shared" si="38"/>
        <v>433082.1</v>
      </c>
    </row>
    <row r="68" spans="1:39" s="53" customFormat="1" ht="75">
      <c r="A68" s="64"/>
      <c r="B68" s="64"/>
      <c r="C68" s="65">
        <v>17</v>
      </c>
      <c r="D68" s="67" t="s">
        <v>152</v>
      </c>
      <c r="E68" s="67" t="s">
        <v>150</v>
      </c>
      <c r="F68" s="118">
        <v>58818</v>
      </c>
      <c r="G68" s="118">
        <v>431418</v>
      </c>
      <c r="H68" s="109">
        <f>F68+G68</f>
        <v>490236</v>
      </c>
      <c r="I68" s="109"/>
      <c r="J68" s="109"/>
      <c r="K68" s="109">
        <v>58818</v>
      </c>
      <c r="L68" s="109"/>
      <c r="M68" s="109"/>
      <c r="N68" s="109">
        <f t="shared" si="45"/>
        <v>58818</v>
      </c>
      <c r="O68" s="128"/>
      <c r="P68" s="109"/>
      <c r="Q68" s="109"/>
      <c r="R68" s="109">
        <f t="shared" si="35"/>
        <v>58818</v>
      </c>
      <c r="S68" s="109"/>
      <c r="T68" s="109"/>
      <c r="U68" s="84">
        <f t="shared" si="46"/>
        <v>58818</v>
      </c>
      <c r="V68" s="84">
        <v>10000</v>
      </c>
      <c r="W68" s="84">
        <f>-2219.7</f>
        <v>-2219.7</v>
      </c>
      <c r="X68" s="84">
        <f t="shared" si="36"/>
        <v>66598.3</v>
      </c>
      <c r="AI68" s="84"/>
      <c r="AJ68" s="156">
        <f t="shared" si="37"/>
        <v>66598.3</v>
      </c>
      <c r="AK68" s="84"/>
      <c r="AL68" s="84"/>
      <c r="AM68" s="156">
        <f t="shared" si="38"/>
        <v>66598.3</v>
      </c>
    </row>
    <row r="69" spans="1:39" s="53" customFormat="1" ht="56.25">
      <c r="A69" s="64"/>
      <c r="B69" s="64"/>
      <c r="C69" s="65">
        <v>18</v>
      </c>
      <c r="D69" s="67" t="s">
        <v>545</v>
      </c>
      <c r="E69" s="67" t="s">
        <v>544</v>
      </c>
      <c r="F69" s="118"/>
      <c r="G69" s="118">
        <v>507998</v>
      </c>
      <c r="H69" s="109">
        <f t="shared" si="43"/>
        <v>507998</v>
      </c>
      <c r="I69" s="109"/>
      <c r="J69" s="109"/>
      <c r="K69" s="109">
        <f t="shared" si="44"/>
        <v>507998</v>
      </c>
      <c r="L69" s="109">
        <v>13145</v>
      </c>
      <c r="M69" s="109"/>
      <c r="N69" s="109">
        <f t="shared" si="45"/>
        <v>521143</v>
      </c>
      <c r="O69" s="128"/>
      <c r="P69" s="109"/>
      <c r="Q69" s="109"/>
      <c r="R69" s="109">
        <f t="shared" si="35"/>
        <v>521143</v>
      </c>
      <c r="S69" s="109"/>
      <c r="T69" s="109"/>
      <c r="U69" s="84">
        <f t="shared" si="46"/>
        <v>521143</v>
      </c>
      <c r="V69" s="84"/>
      <c r="W69" s="84"/>
      <c r="X69" s="84">
        <f t="shared" si="36"/>
        <v>521143</v>
      </c>
      <c r="AI69" s="84"/>
      <c r="AJ69" s="156">
        <f t="shared" si="37"/>
        <v>521143</v>
      </c>
      <c r="AK69" s="84"/>
      <c r="AL69" s="84"/>
      <c r="AM69" s="156">
        <f t="shared" si="38"/>
        <v>521143</v>
      </c>
    </row>
    <row r="70" spans="1:39" s="53" customFormat="1" ht="112.5">
      <c r="A70" s="64"/>
      <c r="B70" s="64"/>
      <c r="C70" s="65">
        <v>22</v>
      </c>
      <c r="D70" s="67" t="s">
        <v>133</v>
      </c>
      <c r="E70" s="67" t="s">
        <v>118</v>
      </c>
      <c r="F70" s="118"/>
      <c r="G70" s="118">
        <v>72285</v>
      </c>
      <c r="H70" s="109">
        <f>F70+G70</f>
        <v>72285</v>
      </c>
      <c r="I70" s="109"/>
      <c r="J70" s="109"/>
      <c r="K70" s="109">
        <f>H70+I70+J70</f>
        <v>72285</v>
      </c>
      <c r="L70" s="109"/>
      <c r="M70" s="109"/>
      <c r="N70" s="109">
        <f>K70+L70+M70</f>
        <v>72285</v>
      </c>
      <c r="O70" s="128"/>
      <c r="P70" s="109"/>
      <c r="Q70" s="109"/>
      <c r="R70" s="109">
        <f t="shared" si="35"/>
        <v>72285</v>
      </c>
      <c r="S70" s="109"/>
      <c r="T70" s="109"/>
      <c r="U70" s="84">
        <f t="shared" si="46"/>
        <v>72285</v>
      </c>
      <c r="V70" s="84"/>
      <c r="W70" s="84"/>
      <c r="X70" s="84">
        <f t="shared" si="36"/>
        <v>72285</v>
      </c>
      <c r="AI70" s="84"/>
      <c r="AJ70" s="156">
        <f t="shared" si="37"/>
        <v>72285</v>
      </c>
      <c r="AK70" s="84"/>
      <c r="AL70" s="84"/>
      <c r="AM70" s="157">
        <f t="shared" si="38"/>
        <v>72285</v>
      </c>
    </row>
    <row r="71" spans="1:39" s="53" customFormat="1" ht="37.5">
      <c r="A71" s="64"/>
      <c r="B71" s="64"/>
      <c r="C71" s="65">
        <v>24</v>
      </c>
      <c r="D71" s="69" t="s">
        <v>398</v>
      </c>
      <c r="E71" s="67" t="s">
        <v>574</v>
      </c>
      <c r="F71" s="118">
        <v>2770578</v>
      </c>
      <c r="G71" s="118">
        <v>115356</v>
      </c>
      <c r="H71" s="109">
        <f t="shared" si="43"/>
        <v>2885934</v>
      </c>
      <c r="I71" s="109"/>
      <c r="J71" s="109"/>
      <c r="K71" s="109">
        <f t="shared" si="44"/>
        <v>2885934</v>
      </c>
      <c r="L71" s="109">
        <f>545+33988</f>
        <v>34533</v>
      </c>
      <c r="M71" s="109">
        <f>-545-2478.8</f>
        <v>-3023.8</v>
      </c>
      <c r="N71" s="109">
        <f t="shared" si="45"/>
        <v>2917443.2</v>
      </c>
      <c r="O71" s="128"/>
      <c r="P71" s="109"/>
      <c r="Q71" s="109"/>
      <c r="R71" s="109">
        <f t="shared" si="35"/>
        <v>2917443.2</v>
      </c>
      <c r="S71" s="109"/>
      <c r="T71" s="109"/>
      <c r="U71" s="84">
        <f t="shared" si="46"/>
        <v>2917443.2</v>
      </c>
      <c r="V71" s="84"/>
      <c r="W71" s="84"/>
      <c r="X71" s="84">
        <f t="shared" si="36"/>
        <v>2917443.2</v>
      </c>
      <c r="AI71" s="84"/>
      <c r="AJ71" s="156">
        <f t="shared" si="37"/>
        <v>2917443.2</v>
      </c>
      <c r="AK71" s="84"/>
      <c r="AL71" s="84"/>
      <c r="AM71" s="157">
        <f t="shared" si="38"/>
        <v>2917443.2</v>
      </c>
    </row>
    <row r="72" spans="1:39" s="53" customFormat="1" ht="56.25" hidden="1">
      <c r="A72" s="64"/>
      <c r="B72" s="64"/>
      <c r="C72" s="65">
        <v>26</v>
      </c>
      <c r="D72" s="69" t="s">
        <v>109</v>
      </c>
      <c r="E72" s="67" t="s">
        <v>108</v>
      </c>
      <c r="F72" s="118"/>
      <c r="G72" s="118"/>
      <c r="H72" s="109"/>
      <c r="I72" s="109"/>
      <c r="J72" s="109"/>
      <c r="K72" s="109">
        <v>0</v>
      </c>
      <c r="L72" s="109"/>
      <c r="M72" s="109"/>
      <c r="N72" s="109">
        <f t="shared" si="45"/>
        <v>0</v>
      </c>
      <c r="O72" s="128"/>
      <c r="P72" s="109"/>
      <c r="Q72" s="109"/>
      <c r="R72" s="109">
        <f t="shared" si="35"/>
        <v>0</v>
      </c>
      <c r="S72" s="109"/>
      <c r="T72" s="109"/>
      <c r="U72" s="84">
        <f t="shared" si="46"/>
        <v>0</v>
      </c>
      <c r="V72" s="84"/>
      <c r="W72" s="84"/>
      <c r="X72" s="84">
        <f t="shared" si="36"/>
        <v>0</v>
      </c>
      <c r="AI72" s="84"/>
      <c r="AJ72" s="156">
        <f t="shared" si="37"/>
        <v>0</v>
      </c>
      <c r="AK72" s="84"/>
      <c r="AL72" s="84"/>
      <c r="AM72" s="156">
        <f t="shared" si="38"/>
        <v>0</v>
      </c>
    </row>
    <row r="73" spans="1:39" s="53" customFormat="1" ht="56.25">
      <c r="A73" s="64"/>
      <c r="B73" s="64"/>
      <c r="C73" s="65">
        <v>27</v>
      </c>
      <c r="D73" s="67" t="s">
        <v>134</v>
      </c>
      <c r="E73" s="67" t="s">
        <v>110</v>
      </c>
      <c r="F73" s="118"/>
      <c r="G73" s="118"/>
      <c r="H73" s="109"/>
      <c r="I73" s="109"/>
      <c r="J73" s="109"/>
      <c r="K73" s="109">
        <v>0</v>
      </c>
      <c r="L73" s="109">
        <v>308014</v>
      </c>
      <c r="M73" s="109"/>
      <c r="N73" s="109">
        <f t="shared" si="45"/>
        <v>308014</v>
      </c>
      <c r="O73" s="128"/>
      <c r="P73" s="109"/>
      <c r="Q73" s="109"/>
      <c r="R73" s="109">
        <f t="shared" si="35"/>
        <v>308014</v>
      </c>
      <c r="S73" s="109"/>
      <c r="T73" s="109"/>
      <c r="U73" s="84">
        <f t="shared" si="46"/>
        <v>308014</v>
      </c>
      <c r="V73" s="84"/>
      <c r="W73" s="84"/>
      <c r="X73" s="84">
        <f t="shared" si="36"/>
        <v>308014</v>
      </c>
      <c r="AI73" s="84"/>
      <c r="AJ73" s="156">
        <f t="shared" si="37"/>
        <v>308014</v>
      </c>
      <c r="AK73" s="84"/>
      <c r="AL73" s="84"/>
      <c r="AM73" s="156">
        <f t="shared" si="38"/>
        <v>308014</v>
      </c>
    </row>
    <row r="74" spans="1:39" s="38" customFormat="1" ht="75">
      <c r="A74" s="44"/>
      <c r="B74" s="44"/>
      <c r="C74" s="45">
        <v>48</v>
      </c>
      <c r="D74" s="152" t="s">
        <v>548</v>
      </c>
      <c r="E74" s="47" t="s">
        <v>546</v>
      </c>
      <c r="F74" s="118"/>
      <c r="G74" s="118">
        <v>106522</v>
      </c>
      <c r="H74" s="109">
        <f t="shared" si="43"/>
        <v>106522</v>
      </c>
      <c r="I74" s="109"/>
      <c r="J74" s="109"/>
      <c r="K74" s="109">
        <f t="shared" si="44"/>
        <v>106522</v>
      </c>
      <c r="L74" s="109"/>
      <c r="M74" s="109"/>
      <c r="N74" s="109">
        <f t="shared" si="45"/>
        <v>106522</v>
      </c>
      <c r="O74" s="128"/>
      <c r="P74" s="109"/>
      <c r="Q74" s="109"/>
      <c r="R74" s="109">
        <f t="shared" si="35"/>
        <v>106522</v>
      </c>
      <c r="S74" s="109"/>
      <c r="T74" s="109"/>
      <c r="U74" s="84">
        <f t="shared" si="46"/>
        <v>106522</v>
      </c>
      <c r="V74" s="85"/>
      <c r="W74" s="85"/>
      <c r="X74" s="84">
        <f t="shared" si="36"/>
        <v>106522</v>
      </c>
      <c r="AI74" s="85"/>
      <c r="AJ74" s="156">
        <f t="shared" si="37"/>
        <v>106522</v>
      </c>
      <c r="AK74" s="85"/>
      <c r="AL74" s="85"/>
      <c r="AM74" s="156">
        <f t="shared" si="38"/>
        <v>106522</v>
      </c>
    </row>
    <row r="75" spans="1:39" s="38" customFormat="1" ht="75">
      <c r="A75" s="44"/>
      <c r="B75" s="44"/>
      <c r="C75" s="45">
        <v>58</v>
      </c>
      <c r="D75" s="152" t="s">
        <v>551</v>
      </c>
      <c r="E75" s="47" t="s">
        <v>547</v>
      </c>
      <c r="F75" s="118"/>
      <c r="G75" s="118">
        <v>138525</v>
      </c>
      <c r="H75" s="109">
        <f t="shared" si="43"/>
        <v>138525</v>
      </c>
      <c r="I75" s="109"/>
      <c r="J75" s="109"/>
      <c r="K75" s="109">
        <f t="shared" si="44"/>
        <v>138525</v>
      </c>
      <c r="L75" s="109"/>
      <c r="M75" s="109"/>
      <c r="N75" s="109">
        <f t="shared" si="45"/>
        <v>138525</v>
      </c>
      <c r="O75" s="128"/>
      <c r="P75" s="109"/>
      <c r="Q75" s="109"/>
      <c r="R75" s="109">
        <f t="shared" si="35"/>
        <v>138525</v>
      </c>
      <c r="S75" s="109"/>
      <c r="T75" s="109"/>
      <c r="U75" s="84">
        <f t="shared" si="46"/>
        <v>138525</v>
      </c>
      <c r="V75" s="85"/>
      <c r="W75" s="85"/>
      <c r="X75" s="84">
        <f t="shared" si="36"/>
        <v>138525</v>
      </c>
      <c r="AI75" s="85"/>
      <c r="AJ75" s="156">
        <f t="shared" si="37"/>
        <v>138525</v>
      </c>
      <c r="AK75" s="85"/>
      <c r="AL75" s="85"/>
      <c r="AM75" s="156">
        <f t="shared" si="38"/>
        <v>138525</v>
      </c>
    </row>
    <row r="76" spans="1:39" s="53" customFormat="1" ht="18.75">
      <c r="A76" s="64"/>
      <c r="B76" s="64"/>
      <c r="C76" s="65">
        <v>60</v>
      </c>
      <c r="D76" s="69" t="s">
        <v>426</v>
      </c>
      <c r="E76" s="67" t="s">
        <v>425</v>
      </c>
      <c r="F76" s="118"/>
      <c r="G76" s="118">
        <v>190000</v>
      </c>
      <c r="H76" s="109">
        <f t="shared" si="43"/>
        <v>190000</v>
      </c>
      <c r="I76" s="109"/>
      <c r="J76" s="109"/>
      <c r="K76" s="121">
        <f t="shared" si="44"/>
        <v>190000</v>
      </c>
      <c r="L76" s="109">
        <v>113884</v>
      </c>
      <c r="M76" s="109"/>
      <c r="N76" s="121">
        <f t="shared" si="45"/>
        <v>303884</v>
      </c>
      <c r="O76" s="128"/>
      <c r="P76" s="109"/>
      <c r="Q76" s="109"/>
      <c r="R76" s="109">
        <f t="shared" si="35"/>
        <v>303884</v>
      </c>
      <c r="S76" s="109"/>
      <c r="T76" s="109"/>
      <c r="U76" s="84">
        <f t="shared" si="46"/>
        <v>303884</v>
      </c>
      <c r="V76" s="84"/>
      <c r="W76" s="84"/>
      <c r="X76" s="84">
        <f t="shared" si="36"/>
        <v>303884</v>
      </c>
      <c r="AI76" s="84"/>
      <c r="AJ76" s="156">
        <f t="shared" si="37"/>
        <v>303884</v>
      </c>
      <c r="AK76" s="84"/>
      <c r="AL76" s="84"/>
      <c r="AM76" s="156">
        <f t="shared" si="38"/>
        <v>303884</v>
      </c>
    </row>
    <row r="77" spans="1:39" s="38" customFormat="1" ht="18.75">
      <c r="A77" s="44"/>
      <c r="B77" s="44"/>
      <c r="C77" s="45">
        <v>113</v>
      </c>
      <c r="D77" s="69" t="s">
        <v>204</v>
      </c>
      <c r="E77" s="47" t="s">
        <v>310</v>
      </c>
      <c r="F77" s="118">
        <v>109593</v>
      </c>
      <c r="G77" s="118"/>
      <c r="H77" s="109">
        <f t="shared" si="43"/>
        <v>109593</v>
      </c>
      <c r="I77" s="109"/>
      <c r="J77" s="109"/>
      <c r="K77" s="109">
        <f>H77+I77+J77</f>
        <v>109593</v>
      </c>
      <c r="L77" s="109"/>
      <c r="M77" s="109"/>
      <c r="N77" s="109">
        <f>K77+L77+M77</f>
        <v>109593</v>
      </c>
      <c r="O77" s="128"/>
      <c r="P77" s="109"/>
      <c r="Q77" s="109"/>
      <c r="R77" s="109">
        <f t="shared" si="35"/>
        <v>109593</v>
      </c>
      <c r="S77" s="109"/>
      <c r="T77" s="109"/>
      <c r="U77" s="84">
        <f t="shared" si="46"/>
        <v>109593</v>
      </c>
      <c r="V77" s="85">
        <f>24110+7000</f>
        <v>31110</v>
      </c>
      <c r="W77" s="85"/>
      <c r="X77" s="84">
        <f t="shared" si="36"/>
        <v>140703</v>
      </c>
      <c r="AI77" s="85"/>
      <c r="AJ77" s="156">
        <f t="shared" si="37"/>
        <v>140703</v>
      </c>
      <c r="AK77" s="85"/>
      <c r="AL77" s="85"/>
      <c r="AM77" s="156">
        <f t="shared" si="38"/>
        <v>140703</v>
      </c>
    </row>
    <row r="78" spans="1:39" s="53" customFormat="1" ht="18.75">
      <c r="A78" s="64"/>
      <c r="B78" s="64"/>
      <c r="C78" s="65">
        <v>114</v>
      </c>
      <c r="D78" s="69" t="s">
        <v>400</v>
      </c>
      <c r="E78" s="67" t="s">
        <v>313</v>
      </c>
      <c r="F78" s="118">
        <v>428581</v>
      </c>
      <c r="G78" s="118"/>
      <c r="H78" s="109">
        <f t="shared" si="43"/>
        <v>428581</v>
      </c>
      <c r="I78" s="109"/>
      <c r="J78" s="109"/>
      <c r="K78" s="109">
        <f>H78+I78+J78</f>
        <v>428581</v>
      </c>
      <c r="L78" s="109"/>
      <c r="M78" s="109"/>
      <c r="N78" s="109">
        <f>K78+L78+M78</f>
        <v>428581</v>
      </c>
      <c r="O78" s="128"/>
      <c r="P78" s="109"/>
      <c r="Q78" s="109"/>
      <c r="R78" s="109">
        <f t="shared" si="35"/>
        <v>428581</v>
      </c>
      <c r="S78" s="109"/>
      <c r="T78" s="109"/>
      <c r="U78" s="84">
        <f t="shared" si="46"/>
        <v>428581</v>
      </c>
      <c r="V78" s="84"/>
      <c r="W78" s="84"/>
      <c r="X78" s="84">
        <f t="shared" si="36"/>
        <v>428581</v>
      </c>
      <c r="AI78" s="84"/>
      <c r="AJ78" s="156">
        <f t="shared" si="37"/>
        <v>428581</v>
      </c>
      <c r="AK78" s="84"/>
      <c r="AL78" s="84"/>
      <c r="AM78" s="156">
        <f t="shared" si="38"/>
        <v>428581</v>
      </c>
    </row>
    <row r="79" spans="1:39" s="38" customFormat="1" ht="18.75">
      <c r="A79" s="39"/>
      <c r="B79" s="39">
        <v>271</v>
      </c>
      <c r="C79" s="40"/>
      <c r="D79" s="153" t="s">
        <v>401</v>
      </c>
      <c r="E79" s="42" t="s">
        <v>560</v>
      </c>
      <c r="F79" s="116">
        <f aca="true" t="shared" si="47" ref="F79:N79">F80+F81+F82</f>
        <v>81339</v>
      </c>
      <c r="G79" s="116">
        <f t="shared" si="47"/>
        <v>2263235</v>
      </c>
      <c r="H79" s="116">
        <f t="shared" si="47"/>
        <v>2344574</v>
      </c>
      <c r="I79" s="116">
        <f t="shared" si="47"/>
        <v>0</v>
      </c>
      <c r="J79" s="116">
        <f t="shared" si="47"/>
        <v>0</v>
      </c>
      <c r="K79" s="117">
        <f t="shared" si="47"/>
        <v>2344574</v>
      </c>
      <c r="L79" s="117">
        <f t="shared" si="47"/>
        <v>636688.2</v>
      </c>
      <c r="M79" s="117">
        <f t="shared" si="47"/>
        <v>-760000</v>
      </c>
      <c r="N79" s="117">
        <f t="shared" si="47"/>
        <v>2221262.2</v>
      </c>
      <c r="O79" s="128"/>
      <c r="P79" s="117">
        <f aca="true" t="shared" si="48" ref="P79:X79">P80+P81+P82</f>
        <v>0</v>
      </c>
      <c r="Q79" s="117">
        <f t="shared" si="48"/>
        <v>0</v>
      </c>
      <c r="R79" s="117">
        <f t="shared" si="48"/>
        <v>2221262.2</v>
      </c>
      <c r="S79" s="117">
        <f t="shared" si="48"/>
        <v>0</v>
      </c>
      <c r="T79" s="117">
        <f t="shared" si="48"/>
        <v>0</v>
      </c>
      <c r="U79" s="83">
        <f t="shared" si="48"/>
        <v>2221262.2</v>
      </c>
      <c r="V79" s="83">
        <f t="shared" si="48"/>
        <v>17760.5</v>
      </c>
      <c r="W79" s="83">
        <f t="shared" si="48"/>
        <v>-23330</v>
      </c>
      <c r="X79" s="83">
        <f t="shared" si="48"/>
        <v>2215692.7</v>
      </c>
      <c r="AI79" s="83">
        <f>AI80+AI81+AI82</f>
        <v>0</v>
      </c>
      <c r="AJ79" s="83">
        <f>AJ80+AJ81+AJ82</f>
        <v>2215692.7</v>
      </c>
      <c r="AK79" s="83">
        <f>AK80+AK81+AK82</f>
        <v>0</v>
      </c>
      <c r="AL79" s="83">
        <f>AL80+AL81+AL82</f>
        <v>0</v>
      </c>
      <c r="AM79" s="83">
        <f>AM80+AM81+AM82</f>
        <v>2215692.7</v>
      </c>
    </row>
    <row r="80" spans="1:39" s="53" customFormat="1" ht="56.25">
      <c r="A80" s="105"/>
      <c r="B80" s="105"/>
      <c r="C80" s="65">
        <v>7</v>
      </c>
      <c r="D80" s="69" t="s">
        <v>161</v>
      </c>
      <c r="E80" s="69" t="s">
        <v>113</v>
      </c>
      <c r="F80" s="118"/>
      <c r="G80" s="118">
        <v>2263235</v>
      </c>
      <c r="H80" s="109">
        <f>F80+G80</f>
        <v>2263235</v>
      </c>
      <c r="I80" s="109"/>
      <c r="J80" s="109"/>
      <c r="K80" s="109">
        <f>H80+I80+J80</f>
        <v>2263235</v>
      </c>
      <c r="L80" s="109">
        <f>106108+459000+57580.2-57580.2</f>
        <v>565108</v>
      </c>
      <c r="M80" s="109">
        <f>-510000-250000</f>
        <v>-760000</v>
      </c>
      <c r="N80" s="109">
        <f>K80+L80+M80</f>
        <v>2068343</v>
      </c>
      <c r="O80" s="128"/>
      <c r="P80" s="109"/>
      <c r="Q80" s="109"/>
      <c r="R80" s="109">
        <f t="shared" si="35"/>
        <v>2068343</v>
      </c>
      <c r="S80" s="109"/>
      <c r="T80" s="109"/>
      <c r="U80" s="84">
        <f t="shared" si="46"/>
        <v>2068343</v>
      </c>
      <c r="V80" s="84"/>
      <c r="W80" s="84"/>
      <c r="X80" s="84">
        <f t="shared" si="36"/>
        <v>2068343</v>
      </c>
      <c r="AI80" s="84"/>
      <c r="AJ80" s="156">
        <f t="shared" si="37"/>
        <v>2068343</v>
      </c>
      <c r="AK80" s="84"/>
      <c r="AL80" s="84"/>
      <c r="AM80" s="156">
        <f t="shared" si="38"/>
        <v>2068343</v>
      </c>
    </row>
    <row r="81" spans="1:39" s="53" customFormat="1" ht="56.25">
      <c r="A81" s="105"/>
      <c r="B81" s="105"/>
      <c r="C81" s="65">
        <v>8</v>
      </c>
      <c r="D81" s="69" t="s">
        <v>162</v>
      </c>
      <c r="E81" s="69" t="s">
        <v>119</v>
      </c>
      <c r="F81" s="118"/>
      <c r="G81" s="118"/>
      <c r="H81" s="109"/>
      <c r="I81" s="109"/>
      <c r="J81" s="109"/>
      <c r="K81" s="109">
        <f>H81+I81+J81</f>
        <v>0</v>
      </c>
      <c r="L81" s="109">
        <f>8000+6000+57580.2</f>
        <v>71580.2</v>
      </c>
      <c r="M81" s="109"/>
      <c r="N81" s="109">
        <f>K81+L81+M81</f>
        <v>71580.2</v>
      </c>
      <c r="O81" s="128"/>
      <c r="P81" s="109"/>
      <c r="Q81" s="109"/>
      <c r="R81" s="109">
        <f t="shared" si="35"/>
        <v>71580.2</v>
      </c>
      <c r="S81" s="109"/>
      <c r="T81" s="109"/>
      <c r="U81" s="84">
        <f t="shared" si="46"/>
        <v>71580.2</v>
      </c>
      <c r="V81" s="84">
        <v>3760.5</v>
      </c>
      <c r="W81" s="84">
        <f>-14000</f>
        <v>-14000</v>
      </c>
      <c r="X81" s="84">
        <f t="shared" si="36"/>
        <v>61340.7</v>
      </c>
      <c r="AI81" s="84"/>
      <c r="AJ81" s="156">
        <f t="shared" si="37"/>
        <v>61340.7</v>
      </c>
      <c r="AK81" s="84"/>
      <c r="AL81" s="84"/>
      <c r="AM81" s="156">
        <f t="shared" si="38"/>
        <v>61340.7</v>
      </c>
    </row>
    <row r="82" spans="1:39" s="53" customFormat="1" ht="18.75">
      <c r="A82" s="64"/>
      <c r="B82" s="64"/>
      <c r="C82" s="65">
        <v>37</v>
      </c>
      <c r="D82" s="65" t="s">
        <v>402</v>
      </c>
      <c r="E82" s="67" t="s">
        <v>575</v>
      </c>
      <c r="F82" s="118">
        <v>81339</v>
      </c>
      <c r="G82" s="118"/>
      <c r="H82" s="109">
        <f>F82+G82</f>
        <v>81339</v>
      </c>
      <c r="I82" s="109"/>
      <c r="J82" s="109"/>
      <c r="K82" s="109">
        <f>H82+I82+J82</f>
        <v>81339</v>
      </c>
      <c r="L82" s="109"/>
      <c r="M82" s="109"/>
      <c r="N82" s="109">
        <f>K82+L82+M82</f>
        <v>81339</v>
      </c>
      <c r="O82" s="128"/>
      <c r="P82" s="109"/>
      <c r="Q82" s="109"/>
      <c r="R82" s="109">
        <f t="shared" si="35"/>
        <v>81339</v>
      </c>
      <c r="S82" s="109"/>
      <c r="T82" s="109"/>
      <c r="U82" s="84">
        <f t="shared" si="46"/>
        <v>81339</v>
      </c>
      <c r="V82" s="84">
        <f>14000</f>
        <v>14000</v>
      </c>
      <c r="W82" s="84">
        <f>-9330</f>
        <v>-9330</v>
      </c>
      <c r="X82" s="84">
        <f t="shared" si="36"/>
        <v>86009</v>
      </c>
      <c r="AI82" s="84"/>
      <c r="AJ82" s="156">
        <f t="shared" si="37"/>
        <v>86009</v>
      </c>
      <c r="AK82" s="84"/>
      <c r="AL82" s="84"/>
      <c r="AM82" s="156">
        <f t="shared" si="38"/>
        <v>86009</v>
      </c>
    </row>
    <row r="83" spans="1:39" s="38" customFormat="1" ht="18.75">
      <c r="A83" s="34">
        <v>5</v>
      </c>
      <c r="B83" s="34"/>
      <c r="C83" s="35"/>
      <c r="D83" s="35" t="s">
        <v>403</v>
      </c>
      <c r="E83" s="37" t="s">
        <v>576</v>
      </c>
      <c r="F83" s="116">
        <f aca="true" t="shared" si="49" ref="F83:K83">F84+F115</f>
        <v>8614766</v>
      </c>
      <c r="G83" s="116">
        <f t="shared" si="49"/>
        <v>5966658</v>
      </c>
      <c r="H83" s="117">
        <f t="shared" si="49"/>
        <v>14581424</v>
      </c>
      <c r="I83" s="117">
        <f t="shared" si="49"/>
        <v>0</v>
      </c>
      <c r="J83" s="117">
        <f t="shared" si="49"/>
        <v>0</v>
      </c>
      <c r="K83" s="117">
        <f t="shared" si="49"/>
        <v>14581424</v>
      </c>
      <c r="L83" s="117">
        <f>L84+L115</f>
        <v>524347.5</v>
      </c>
      <c r="M83" s="117">
        <f>M84+M115</f>
        <v>-221267</v>
      </c>
      <c r="N83" s="117">
        <f>N84+N115</f>
        <v>14884504.500000002</v>
      </c>
      <c r="O83" s="128"/>
      <c r="P83" s="117">
        <f aca="true" t="shared" si="50" ref="P83:U83">P84+P115</f>
        <v>0</v>
      </c>
      <c r="Q83" s="117">
        <f t="shared" si="50"/>
        <v>0</v>
      </c>
      <c r="R83" s="117">
        <f t="shared" si="50"/>
        <v>14884504.500000002</v>
      </c>
      <c r="S83" s="117">
        <f t="shared" si="50"/>
        <v>0</v>
      </c>
      <c r="T83" s="117">
        <f t="shared" si="50"/>
        <v>0</v>
      </c>
      <c r="U83" s="82">
        <f t="shared" si="50"/>
        <v>14884504.500000002</v>
      </c>
      <c r="V83" s="82">
        <f>V84+V115</f>
        <v>79578</v>
      </c>
      <c r="W83" s="82">
        <f>W84+W115</f>
        <v>-54902</v>
      </c>
      <c r="X83" s="82">
        <f>X84+X115</f>
        <v>14909180.500000002</v>
      </c>
      <c r="AI83" s="82">
        <f>AI84+AI115</f>
        <v>0</v>
      </c>
      <c r="AJ83" s="82">
        <f>AJ84+AJ115</f>
        <v>14909180.500000002</v>
      </c>
      <c r="AK83" s="82">
        <f>AK84+AK115</f>
        <v>25000</v>
      </c>
      <c r="AL83" s="82">
        <f>AL84+AL115</f>
        <v>-25000</v>
      </c>
      <c r="AM83" s="82">
        <f>AM84+AM115</f>
        <v>14909180.500000002</v>
      </c>
    </row>
    <row r="84" spans="1:39" s="38" customFormat="1" ht="18.75">
      <c r="A84" s="39"/>
      <c r="B84" s="39">
        <v>253</v>
      </c>
      <c r="C84" s="40"/>
      <c r="D84" s="40" t="s">
        <v>384</v>
      </c>
      <c r="E84" s="42" t="s">
        <v>564</v>
      </c>
      <c r="F84" s="116">
        <f aca="true" t="shared" si="51" ref="F84:N84">SUM(F85:F114)</f>
        <v>8604766</v>
      </c>
      <c r="G84" s="116">
        <f t="shared" si="51"/>
        <v>3008020</v>
      </c>
      <c r="H84" s="117">
        <f t="shared" si="51"/>
        <v>11612786</v>
      </c>
      <c r="I84" s="117">
        <f t="shared" si="51"/>
        <v>0</v>
      </c>
      <c r="J84" s="117">
        <f t="shared" si="51"/>
        <v>0</v>
      </c>
      <c r="K84" s="117">
        <f t="shared" si="51"/>
        <v>11612786</v>
      </c>
      <c r="L84" s="117">
        <f t="shared" si="51"/>
        <v>466065.5</v>
      </c>
      <c r="M84" s="117">
        <f t="shared" si="51"/>
        <v>-221267</v>
      </c>
      <c r="N84" s="117">
        <f t="shared" si="51"/>
        <v>11857584.500000002</v>
      </c>
      <c r="O84" s="128"/>
      <c r="P84" s="117">
        <f aca="true" t="shared" si="52" ref="P84:U84">SUM(P85:P114)</f>
        <v>0</v>
      </c>
      <c r="Q84" s="117">
        <f t="shared" si="52"/>
        <v>0</v>
      </c>
      <c r="R84" s="117">
        <f t="shared" si="52"/>
        <v>11857584.500000002</v>
      </c>
      <c r="S84" s="117">
        <f t="shared" si="52"/>
        <v>0</v>
      </c>
      <c r="T84" s="117">
        <f t="shared" si="52"/>
        <v>0</v>
      </c>
      <c r="U84" s="83">
        <f t="shared" si="52"/>
        <v>11857584.500000002</v>
      </c>
      <c r="V84" s="83">
        <f>SUM(V85:V114)</f>
        <v>49316</v>
      </c>
      <c r="W84" s="83">
        <f>SUM(W85:W114)</f>
        <v>-54902</v>
      </c>
      <c r="X84" s="83">
        <f>SUM(X85:X114)</f>
        <v>11851998.500000002</v>
      </c>
      <c r="AI84" s="83">
        <f>SUM(AI85:AI114)</f>
        <v>0</v>
      </c>
      <c r="AJ84" s="83">
        <f>SUM(AJ85:AJ114)</f>
        <v>11851998.500000002</v>
      </c>
      <c r="AK84" s="83">
        <f>SUM(AK85:AK114)</f>
        <v>0</v>
      </c>
      <c r="AL84" s="83">
        <f>SUM(AL85:AL114)</f>
        <v>0</v>
      </c>
      <c r="AM84" s="83">
        <f>SUM(AM85:AM114)</f>
        <v>11851998.500000002</v>
      </c>
    </row>
    <row r="85" spans="1:39" s="38" customFormat="1" ht="37.5">
      <c r="A85" s="44"/>
      <c r="B85" s="44"/>
      <c r="C85" s="45">
        <v>1</v>
      </c>
      <c r="D85" s="152" t="s">
        <v>406</v>
      </c>
      <c r="E85" s="47" t="s">
        <v>314</v>
      </c>
      <c r="F85" s="118">
        <v>76242</v>
      </c>
      <c r="G85" s="118"/>
      <c r="H85" s="109">
        <f aca="true" t="shared" si="53" ref="H85:H114">F85+G85</f>
        <v>76242</v>
      </c>
      <c r="I85" s="109"/>
      <c r="J85" s="109"/>
      <c r="K85" s="109">
        <f aca="true" t="shared" si="54" ref="K85:K109">H85+I85+J85</f>
        <v>76242</v>
      </c>
      <c r="L85" s="109">
        <f>1475</f>
        <v>1475</v>
      </c>
      <c r="M85" s="109">
        <f>-1536</f>
        <v>-1536</v>
      </c>
      <c r="N85" s="109">
        <f aca="true" t="shared" si="55" ref="N85:N109">K85+L85+M85</f>
        <v>76181</v>
      </c>
      <c r="O85" s="128"/>
      <c r="P85" s="109"/>
      <c r="Q85" s="109"/>
      <c r="R85" s="109">
        <f aca="true" t="shared" si="56" ref="R85:R116">N85+P85+Q85</f>
        <v>76181</v>
      </c>
      <c r="S85" s="109"/>
      <c r="T85" s="109"/>
      <c r="U85" s="84">
        <f aca="true" t="shared" si="57" ref="U85:U116">Q85+R85</f>
        <v>76181</v>
      </c>
      <c r="V85" s="87"/>
      <c r="W85" s="87"/>
      <c r="X85" s="84">
        <f aca="true" t="shared" si="58" ref="X85:X116">U85+V85+W85</f>
        <v>76181</v>
      </c>
      <c r="AI85" s="87"/>
      <c r="AJ85" s="156">
        <f aca="true" t="shared" si="59" ref="AJ85:AJ116">X85+AI85</f>
        <v>76181</v>
      </c>
      <c r="AK85" s="87"/>
      <c r="AL85" s="87"/>
      <c r="AM85" s="156">
        <f aca="true" t="shared" si="60" ref="AM85:AM114">AJ85+AK85+AL85</f>
        <v>76181</v>
      </c>
    </row>
    <row r="86" spans="1:39" s="53" customFormat="1" ht="56.25">
      <c r="A86" s="64"/>
      <c r="B86" s="64"/>
      <c r="C86" s="65">
        <v>2</v>
      </c>
      <c r="D86" s="69" t="s">
        <v>407</v>
      </c>
      <c r="E86" s="67" t="s">
        <v>282</v>
      </c>
      <c r="F86" s="118">
        <v>104885</v>
      </c>
      <c r="G86" s="118">
        <v>584903</v>
      </c>
      <c r="H86" s="109">
        <f t="shared" si="53"/>
        <v>689788</v>
      </c>
      <c r="I86" s="109"/>
      <c r="J86" s="109"/>
      <c r="K86" s="109">
        <f t="shared" si="54"/>
        <v>689788</v>
      </c>
      <c r="L86" s="109"/>
      <c r="M86" s="109"/>
      <c r="N86" s="109">
        <f t="shared" si="55"/>
        <v>689788</v>
      </c>
      <c r="O86" s="128"/>
      <c r="P86" s="109"/>
      <c r="Q86" s="109"/>
      <c r="R86" s="109">
        <f t="shared" si="56"/>
        <v>689788</v>
      </c>
      <c r="S86" s="109"/>
      <c r="T86" s="109"/>
      <c r="U86" s="84">
        <f t="shared" si="57"/>
        <v>689788</v>
      </c>
      <c r="V86" s="84"/>
      <c r="W86" s="84"/>
      <c r="X86" s="84">
        <f t="shared" si="58"/>
        <v>689788</v>
      </c>
      <c r="AI86" s="84"/>
      <c r="AJ86" s="156">
        <f t="shared" si="59"/>
        <v>689788</v>
      </c>
      <c r="AK86" s="84"/>
      <c r="AL86" s="84"/>
      <c r="AM86" s="157">
        <f t="shared" si="60"/>
        <v>689788</v>
      </c>
    </row>
    <row r="87" spans="1:39" s="38" customFormat="1" ht="75">
      <c r="A87" s="44"/>
      <c r="B87" s="44"/>
      <c r="C87" s="45">
        <v>4</v>
      </c>
      <c r="D87" s="152" t="s">
        <v>205</v>
      </c>
      <c r="E87" s="67" t="s">
        <v>315</v>
      </c>
      <c r="F87" s="118">
        <v>0</v>
      </c>
      <c r="G87" s="118">
        <v>148643</v>
      </c>
      <c r="H87" s="109">
        <f t="shared" si="53"/>
        <v>148643</v>
      </c>
      <c r="I87" s="109"/>
      <c r="J87" s="109"/>
      <c r="K87" s="109">
        <f t="shared" si="54"/>
        <v>148643</v>
      </c>
      <c r="L87" s="109"/>
      <c r="M87" s="109"/>
      <c r="N87" s="109">
        <f t="shared" si="55"/>
        <v>148643</v>
      </c>
      <c r="O87" s="128"/>
      <c r="P87" s="109"/>
      <c r="Q87" s="109"/>
      <c r="R87" s="109">
        <f t="shared" si="56"/>
        <v>148643</v>
      </c>
      <c r="S87" s="109"/>
      <c r="T87" s="109"/>
      <c r="U87" s="84">
        <f t="shared" si="57"/>
        <v>148643</v>
      </c>
      <c r="V87" s="85"/>
      <c r="W87" s="85"/>
      <c r="X87" s="84">
        <f t="shared" si="58"/>
        <v>148643</v>
      </c>
      <c r="AI87" s="85"/>
      <c r="AJ87" s="156">
        <f t="shared" si="59"/>
        <v>148643</v>
      </c>
      <c r="AK87" s="85"/>
      <c r="AL87" s="85"/>
      <c r="AM87" s="157">
        <f t="shared" si="60"/>
        <v>148643</v>
      </c>
    </row>
    <row r="88" spans="1:39" s="38" customFormat="1" ht="37.5">
      <c r="A88" s="44"/>
      <c r="B88" s="44"/>
      <c r="C88" s="45">
        <v>5</v>
      </c>
      <c r="D88" s="69" t="s">
        <v>408</v>
      </c>
      <c r="E88" s="47" t="s">
        <v>577</v>
      </c>
      <c r="F88" s="118">
        <v>143221</v>
      </c>
      <c r="G88" s="118"/>
      <c r="H88" s="109">
        <f t="shared" si="53"/>
        <v>143221</v>
      </c>
      <c r="I88" s="109"/>
      <c r="J88" s="109"/>
      <c r="K88" s="109">
        <f t="shared" si="54"/>
        <v>143221</v>
      </c>
      <c r="L88" s="109">
        <f>2884</f>
        <v>2884</v>
      </c>
      <c r="M88" s="109"/>
      <c r="N88" s="109">
        <f t="shared" si="55"/>
        <v>146105</v>
      </c>
      <c r="O88" s="128"/>
      <c r="P88" s="109"/>
      <c r="Q88" s="109"/>
      <c r="R88" s="109">
        <f t="shared" si="56"/>
        <v>146105</v>
      </c>
      <c r="S88" s="109"/>
      <c r="T88" s="109"/>
      <c r="U88" s="84">
        <f t="shared" si="57"/>
        <v>146105</v>
      </c>
      <c r="V88" s="85"/>
      <c r="W88" s="85"/>
      <c r="X88" s="84">
        <f t="shared" si="58"/>
        <v>146105</v>
      </c>
      <c r="AI88" s="85"/>
      <c r="AJ88" s="156">
        <f t="shared" si="59"/>
        <v>146105</v>
      </c>
      <c r="AK88" s="85"/>
      <c r="AL88" s="85"/>
      <c r="AM88" s="156">
        <f t="shared" si="60"/>
        <v>146105</v>
      </c>
    </row>
    <row r="89" spans="1:39" s="38" customFormat="1" ht="18.75">
      <c r="A89" s="44"/>
      <c r="B89" s="44"/>
      <c r="C89" s="45">
        <v>6</v>
      </c>
      <c r="D89" s="67" t="s">
        <v>163</v>
      </c>
      <c r="E89" s="47" t="s">
        <v>316</v>
      </c>
      <c r="F89" s="118">
        <v>52512</v>
      </c>
      <c r="G89" s="118"/>
      <c r="H89" s="109">
        <f t="shared" si="53"/>
        <v>52512</v>
      </c>
      <c r="I89" s="109"/>
      <c r="J89" s="109"/>
      <c r="K89" s="109">
        <f t="shared" si="54"/>
        <v>52512</v>
      </c>
      <c r="L89" s="109">
        <f>1662</f>
        <v>1662</v>
      </c>
      <c r="M89" s="109"/>
      <c r="N89" s="109">
        <f t="shared" si="55"/>
        <v>54174</v>
      </c>
      <c r="O89" s="128"/>
      <c r="P89" s="109"/>
      <c r="Q89" s="109"/>
      <c r="R89" s="109">
        <f t="shared" si="56"/>
        <v>54174</v>
      </c>
      <c r="S89" s="109"/>
      <c r="T89" s="109"/>
      <c r="U89" s="84">
        <f t="shared" si="57"/>
        <v>54174</v>
      </c>
      <c r="V89" s="85"/>
      <c r="W89" s="85"/>
      <c r="X89" s="84">
        <f t="shared" si="58"/>
        <v>54174</v>
      </c>
      <c r="AI89" s="85"/>
      <c r="AJ89" s="156">
        <f t="shared" si="59"/>
        <v>54174</v>
      </c>
      <c r="AK89" s="85"/>
      <c r="AL89" s="85"/>
      <c r="AM89" s="156">
        <f t="shared" si="60"/>
        <v>54174</v>
      </c>
    </row>
    <row r="90" spans="1:39" s="38" customFormat="1" ht="18.75">
      <c r="A90" s="44"/>
      <c r="B90" s="44"/>
      <c r="C90" s="45">
        <v>7</v>
      </c>
      <c r="D90" s="69" t="s">
        <v>409</v>
      </c>
      <c r="E90" s="47" t="s">
        <v>578</v>
      </c>
      <c r="F90" s="118">
        <f>19989-362</f>
        <v>19627</v>
      </c>
      <c r="G90" s="118">
        <v>56981</v>
      </c>
      <c r="H90" s="109">
        <f t="shared" si="53"/>
        <v>76608</v>
      </c>
      <c r="I90" s="109"/>
      <c r="J90" s="109"/>
      <c r="K90" s="109">
        <f t="shared" si="54"/>
        <v>76608</v>
      </c>
      <c r="L90" s="109">
        <f>430</f>
        <v>430</v>
      </c>
      <c r="M90" s="109"/>
      <c r="N90" s="109">
        <f t="shared" si="55"/>
        <v>77038</v>
      </c>
      <c r="O90" s="128"/>
      <c r="P90" s="109"/>
      <c r="Q90" s="109"/>
      <c r="R90" s="109">
        <f t="shared" si="56"/>
        <v>77038</v>
      </c>
      <c r="S90" s="109"/>
      <c r="T90" s="109"/>
      <c r="U90" s="84">
        <f t="shared" si="57"/>
        <v>77038</v>
      </c>
      <c r="V90" s="85"/>
      <c r="W90" s="85"/>
      <c r="X90" s="84">
        <f t="shared" si="58"/>
        <v>77038</v>
      </c>
      <c r="AI90" s="85"/>
      <c r="AJ90" s="156">
        <f t="shared" si="59"/>
        <v>77038</v>
      </c>
      <c r="AK90" s="85"/>
      <c r="AL90" s="85"/>
      <c r="AM90" s="156">
        <f t="shared" si="60"/>
        <v>77038</v>
      </c>
    </row>
    <row r="91" spans="1:39" s="53" customFormat="1" ht="37.5">
      <c r="A91" s="64"/>
      <c r="B91" s="64"/>
      <c r="C91" s="65">
        <v>8</v>
      </c>
      <c r="D91" s="67" t="s">
        <v>130</v>
      </c>
      <c r="E91" s="67" t="s">
        <v>129</v>
      </c>
      <c r="F91" s="118">
        <v>111450</v>
      </c>
      <c r="G91" s="118"/>
      <c r="H91" s="109">
        <f t="shared" si="53"/>
        <v>111450</v>
      </c>
      <c r="I91" s="109"/>
      <c r="J91" s="109"/>
      <c r="K91" s="109">
        <f t="shared" si="54"/>
        <v>111450</v>
      </c>
      <c r="L91" s="109">
        <f>1980</f>
        <v>1980</v>
      </c>
      <c r="M91" s="109"/>
      <c r="N91" s="109">
        <f t="shared" si="55"/>
        <v>113430</v>
      </c>
      <c r="O91" s="128"/>
      <c r="P91" s="109"/>
      <c r="Q91" s="109"/>
      <c r="R91" s="109">
        <f t="shared" si="56"/>
        <v>113430</v>
      </c>
      <c r="S91" s="109"/>
      <c r="T91" s="109"/>
      <c r="U91" s="84">
        <f t="shared" si="57"/>
        <v>113430</v>
      </c>
      <c r="V91" s="84"/>
      <c r="W91" s="84"/>
      <c r="X91" s="84">
        <f t="shared" si="58"/>
        <v>113430</v>
      </c>
      <c r="AI91" s="84"/>
      <c r="AJ91" s="156">
        <f t="shared" si="59"/>
        <v>113430</v>
      </c>
      <c r="AK91" s="84"/>
      <c r="AL91" s="84"/>
      <c r="AM91" s="156">
        <f t="shared" si="60"/>
        <v>113430</v>
      </c>
    </row>
    <row r="92" spans="1:39" s="38" customFormat="1" ht="37.5">
      <c r="A92" s="44"/>
      <c r="B92" s="44"/>
      <c r="C92" s="45">
        <v>9</v>
      </c>
      <c r="D92" s="67" t="s">
        <v>164</v>
      </c>
      <c r="E92" s="47" t="s">
        <v>317</v>
      </c>
      <c r="F92" s="118">
        <f>1947997-39197</f>
        <v>1908800</v>
      </c>
      <c r="G92" s="118">
        <v>147847</v>
      </c>
      <c r="H92" s="109">
        <f t="shared" si="53"/>
        <v>2056647</v>
      </c>
      <c r="I92" s="109"/>
      <c r="J92" s="109"/>
      <c r="K92" s="109">
        <f t="shared" si="54"/>
        <v>2056647</v>
      </c>
      <c r="L92" s="109">
        <f>78.8+8783+39028+12555</f>
        <v>60444.8</v>
      </c>
      <c r="M92" s="109"/>
      <c r="N92" s="109">
        <f t="shared" si="55"/>
        <v>2117091.8</v>
      </c>
      <c r="O92" s="128"/>
      <c r="P92" s="109"/>
      <c r="Q92" s="109"/>
      <c r="R92" s="109">
        <f t="shared" si="56"/>
        <v>2117091.8</v>
      </c>
      <c r="S92" s="109"/>
      <c r="T92" s="109"/>
      <c r="U92" s="84">
        <f t="shared" si="57"/>
        <v>2117091.8</v>
      </c>
      <c r="V92" s="85"/>
      <c r="W92" s="85"/>
      <c r="X92" s="84">
        <f t="shared" si="58"/>
        <v>2117091.8</v>
      </c>
      <c r="AI92" s="85"/>
      <c r="AJ92" s="156">
        <f t="shared" si="59"/>
        <v>2117091.8</v>
      </c>
      <c r="AK92" s="85"/>
      <c r="AL92" s="85"/>
      <c r="AM92" s="156">
        <f t="shared" si="60"/>
        <v>2117091.8</v>
      </c>
    </row>
    <row r="93" spans="1:39" s="38" customFormat="1" ht="56.25">
      <c r="A93" s="44"/>
      <c r="B93" s="44"/>
      <c r="C93" s="45">
        <v>10</v>
      </c>
      <c r="D93" s="67" t="s">
        <v>165</v>
      </c>
      <c r="E93" s="47" t="s">
        <v>318</v>
      </c>
      <c r="F93" s="118">
        <f>3982763+1-58198+1</f>
        <v>3924567</v>
      </c>
      <c r="G93" s="118">
        <v>33710</v>
      </c>
      <c r="H93" s="109">
        <f t="shared" si="53"/>
        <v>3958277</v>
      </c>
      <c r="I93" s="109"/>
      <c r="J93" s="109"/>
      <c r="K93" s="109">
        <f t="shared" si="54"/>
        <v>3958277</v>
      </c>
      <c r="L93" s="109">
        <f>34+1288+131732+103842</f>
        <v>236896</v>
      </c>
      <c r="M93" s="109"/>
      <c r="N93" s="109">
        <f t="shared" si="55"/>
        <v>4195173</v>
      </c>
      <c r="O93" s="128"/>
      <c r="P93" s="109"/>
      <c r="Q93" s="109"/>
      <c r="R93" s="109">
        <f t="shared" si="56"/>
        <v>4195173</v>
      </c>
      <c r="S93" s="109"/>
      <c r="T93" s="109"/>
      <c r="U93" s="84">
        <f t="shared" si="57"/>
        <v>4195173</v>
      </c>
      <c r="V93" s="85">
        <v>5008</v>
      </c>
      <c r="W93" s="85"/>
      <c r="X93" s="84">
        <f t="shared" si="58"/>
        <v>4200181</v>
      </c>
      <c r="AI93" s="85"/>
      <c r="AJ93" s="156">
        <f t="shared" si="59"/>
        <v>4200181</v>
      </c>
      <c r="AK93" s="85"/>
      <c r="AL93" s="85"/>
      <c r="AM93" s="156">
        <f t="shared" si="60"/>
        <v>4200181</v>
      </c>
    </row>
    <row r="94" spans="1:39" s="38" customFormat="1" ht="18.75">
      <c r="A94" s="44"/>
      <c r="B94" s="44"/>
      <c r="C94" s="45">
        <v>11</v>
      </c>
      <c r="D94" s="67" t="s">
        <v>166</v>
      </c>
      <c r="E94" s="47" t="s">
        <v>319</v>
      </c>
      <c r="F94" s="118">
        <f>651269-1726</f>
        <v>649543</v>
      </c>
      <c r="G94" s="118"/>
      <c r="H94" s="109">
        <f t="shared" si="53"/>
        <v>649543</v>
      </c>
      <c r="I94" s="109"/>
      <c r="J94" s="109"/>
      <c r="K94" s="109">
        <f t="shared" si="54"/>
        <v>649543</v>
      </c>
      <c r="L94" s="109">
        <f>22214</f>
        <v>22214</v>
      </c>
      <c r="M94" s="109"/>
      <c r="N94" s="109">
        <f t="shared" si="55"/>
        <v>671757</v>
      </c>
      <c r="O94" s="128"/>
      <c r="P94" s="109"/>
      <c r="Q94" s="109"/>
      <c r="R94" s="109">
        <f t="shared" si="56"/>
        <v>671757</v>
      </c>
      <c r="S94" s="109"/>
      <c r="T94" s="109"/>
      <c r="U94" s="84">
        <f t="shared" si="57"/>
        <v>671757</v>
      </c>
      <c r="V94" s="85"/>
      <c r="W94" s="85"/>
      <c r="X94" s="84">
        <f t="shared" si="58"/>
        <v>671757</v>
      </c>
      <c r="AI94" s="85"/>
      <c r="AJ94" s="156">
        <f t="shared" si="59"/>
        <v>671757</v>
      </c>
      <c r="AK94" s="85"/>
      <c r="AL94" s="85"/>
      <c r="AM94" s="156">
        <f t="shared" si="60"/>
        <v>671757</v>
      </c>
    </row>
    <row r="95" spans="1:39" s="38" customFormat="1" ht="18.75">
      <c r="A95" s="44"/>
      <c r="B95" s="44"/>
      <c r="C95" s="45">
        <v>13</v>
      </c>
      <c r="D95" s="65" t="s">
        <v>410</v>
      </c>
      <c r="E95" s="47" t="s">
        <v>579</v>
      </c>
      <c r="F95" s="118">
        <f>10350-74</f>
        <v>10276</v>
      </c>
      <c r="G95" s="118"/>
      <c r="H95" s="109">
        <f t="shared" si="53"/>
        <v>10276</v>
      </c>
      <c r="I95" s="109"/>
      <c r="J95" s="109"/>
      <c r="K95" s="109">
        <f t="shared" si="54"/>
        <v>10276</v>
      </c>
      <c r="L95" s="109">
        <f>289</f>
        <v>289</v>
      </c>
      <c r="M95" s="109"/>
      <c r="N95" s="109">
        <f t="shared" si="55"/>
        <v>10565</v>
      </c>
      <c r="O95" s="128"/>
      <c r="P95" s="109"/>
      <c r="Q95" s="109"/>
      <c r="R95" s="109">
        <f t="shared" si="56"/>
        <v>10565</v>
      </c>
      <c r="S95" s="109"/>
      <c r="T95" s="109"/>
      <c r="U95" s="84">
        <f t="shared" si="57"/>
        <v>10565</v>
      </c>
      <c r="V95" s="84"/>
      <c r="W95" s="84"/>
      <c r="X95" s="84">
        <f t="shared" si="58"/>
        <v>10565</v>
      </c>
      <c r="AI95" s="84"/>
      <c r="AJ95" s="156">
        <f t="shared" si="59"/>
        <v>10565</v>
      </c>
      <c r="AK95" s="84"/>
      <c r="AL95" s="84"/>
      <c r="AM95" s="156">
        <f t="shared" si="60"/>
        <v>10565</v>
      </c>
    </row>
    <row r="96" spans="1:39" s="38" customFormat="1" ht="56.25">
      <c r="A96" s="44"/>
      <c r="B96" s="44"/>
      <c r="C96" s="45">
        <v>14</v>
      </c>
      <c r="D96" s="69" t="s">
        <v>411</v>
      </c>
      <c r="E96" s="47" t="s">
        <v>580</v>
      </c>
      <c r="F96" s="118">
        <v>609719</v>
      </c>
      <c r="G96" s="118"/>
      <c r="H96" s="109">
        <f t="shared" si="53"/>
        <v>609719</v>
      </c>
      <c r="I96" s="109"/>
      <c r="J96" s="109"/>
      <c r="K96" s="109">
        <f t="shared" si="54"/>
        <v>609719</v>
      </c>
      <c r="L96" s="109"/>
      <c r="M96" s="109">
        <f>-60203</f>
        <v>-60203</v>
      </c>
      <c r="N96" s="109">
        <f t="shared" si="55"/>
        <v>549516</v>
      </c>
      <c r="O96" s="128"/>
      <c r="P96" s="109"/>
      <c r="Q96" s="109"/>
      <c r="R96" s="109">
        <f t="shared" si="56"/>
        <v>549516</v>
      </c>
      <c r="S96" s="109"/>
      <c r="T96" s="109"/>
      <c r="U96" s="84">
        <f t="shared" si="57"/>
        <v>549516</v>
      </c>
      <c r="V96" s="85"/>
      <c r="W96" s="84">
        <f>-19863</f>
        <v>-19863</v>
      </c>
      <c r="X96" s="84">
        <f t="shared" si="58"/>
        <v>529653</v>
      </c>
      <c r="AI96" s="85"/>
      <c r="AJ96" s="156">
        <f t="shared" si="59"/>
        <v>529653</v>
      </c>
      <c r="AK96" s="85"/>
      <c r="AL96" s="85"/>
      <c r="AM96" s="156">
        <f t="shared" si="60"/>
        <v>529653</v>
      </c>
    </row>
    <row r="97" spans="1:39" s="38" customFormat="1" ht="18.75">
      <c r="A97" s="44"/>
      <c r="B97" s="44"/>
      <c r="C97" s="45">
        <v>15</v>
      </c>
      <c r="D97" s="152" t="s">
        <v>352</v>
      </c>
      <c r="E97" s="47" t="s">
        <v>537</v>
      </c>
      <c r="F97" s="118">
        <v>2790</v>
      </c>
      <c r="G97" s="118"/>
      <c r="H97" s="109">
        <f t="shared" si="53"/>
        <v>2790</v>
      </c>
      <c r="I97" s="109"/>
      <c r="J97" s="109"/>
      <c r="K97" s="109">
        <f t="shared" si="54"/>
        <v>2790</v>
      </c>
      <c r="L97" s="109"/>
      <c r="M97" s="109"/>
      <c r="N97" s="109">
        <f t="shared" si="55"/>
        <v>2790</v>
      </c>
      <c r="O97" s="128"/>
      <c r="P97" s="109"/>
      <c r="Q97" s="109"/>
      <c r="R97" s="109">
        <f t="shared" si="56"/>
        <v>2790</v>
      </c>
      <c r="S97" s="109"/>
      <c r="T97" s="109"/>
      <c r="U97" s="84">
        <f t="shared" si="57"/>
        <v>2790</v>
      </c>
      <c r="V97" s="87"/>
      <c r="W97" s="87"/>
      <c r="X97" s="84">
        <f t="shared" si="58"/>
        <v>2790</v>
      </c>
      <c r="AI97" s="87"/>
      <c r="AJ97" s="156">
        <f t="shared" si="59"/>
        <v>2790</v>
      </c>
      <c r="AK97" s="87"/>
      <c r="AL97" s="87"/>
      <c r="AM97" s="156">
        <f t="shared" si="60"/>
        <v>2790</v>
      </c>
    </row>
    <row r="98" spans="1:39" s="128" customFormat="1" ht="37.5">
      <c r="A98" s="64"/>
      <c r="B98" s="64"/>
      <c r="C98" s="65">
        <v>16</v>
      </c>
      <c r="D98" s="69" t="s">
        <v>412</v>
      </c>
      <c r="E98" s="67" t="s">
        <v>581</v>
      </c>
      <c r="F98" s="154">
        <v>4853</v>
      </c>
      <c r="G98" s="154"/>
      <c r="H98" s="84">
        <f t="shared" si="53"/>
        <v>4853</v>
      </c>
      <c r="I98" s="84"/>
      <c r="J98" s="84"/>
      <c r="K98" s="84">
        <f t="shared" si="54"/>
        <v>4853</v>
      </c>
      <c r="L98" s="84"/>
      <c r="M98" s="84"/>
      <c r="N98" s="84">
        <f t="shared" si="55"/>
        <v>4853</v>
      </c>
      <c r="O98" s="53"/>
      <c r="P98" s="84"/>
      <c r="Q98" s="84"/>
      <c r="R98" s="84">
        <f t="shared" si="56"/>
        <v>4853</v>
      </c>
      <c r="S98" s="84"/>
      <c r="T98" s="84"/>
      <c r="U98" s="84">
        <f t="shared" si="57"/>
        <v>4853</v>
      </c>
      <c r="V98" s="84"/>
      <c r="W98" s="84"/>
      <c r="X98" s="84">
        <f t="shared" si="58"/>
        <v>4853</v>
      </c>
      <c r="AI98" s="84"/>
      <c r="AJ98" s="156">
        <f t="shared" si="59"/>
        <v>4853</v>
      </c>
      <c r="AK98" s="84"/>
      <c r="AL98" s="84"/>
      <c r="AM98" s="156">
        <f t="shared" si="60"/>
        <v>4853</v>
      </c>
    </row>
    <row r="99" spans="1:39" s="38" customFormat="1" ht="37.5">
      <c r="A99" s="44"/>
      <c r="B99" s="44"/>
      <c r="C99" s="45">
        <v>17</v>
      </c>
      <c r="D99" s="152" t="s">
        <v>413</v>
      </c>
      <c r="E99" s="47" t="s">
        <v>582</v>
      </c>
      <c r="F99" s="118">
        <v>959</v>
      </c>
      <c r="G99" s="118"/>
      <c r="H99" s="109">
        <f t="shared" si="53"/>
        <v>959</v>
      </c>
      <c r="I99" s="109"/>
      <c r="J99" s="109"/>
      <c r="K99" s="109">
        <f t="shared" si="54"/>
        <v>959</v>
      </c>
      <c r="L99" s="109"/>
      <c r="M99" s="109"/>
      <c r="N99" s="109">
        <f t="shared" si="55"/>
        <v>959</v>
      </c>
      <c r="O99" s="128"/>
      <c r="P99" s="109"/>
      <c r="Q99" s="109"/>
      <c r="R99" s="109">
        <f t="shared" si="56"/>
        <v>959</v>
      </c>
      <c r="S99" s="109"/>
      <c r="T99" s="109"/>
      <c r="U99" s="84">
        <f t="shared" si="57"/>
        <v>959</v>
      </c>
      <c r="V99" s="85"/>
      <c r="W99" s="85"/>
      <c r="X99" s="84">
        <f t="shared" si="58"/>
        <v>959</v>
      </c>
      <c r="AI99" s="85"/>
      <c r="AJ99" s="156">
        <f t="shared" si="59"/>
        <v>959</v>
      </c>
      <c r="AK99" s="85"/>
      <c r="AL99" s="85"/>
      <c r="AM99" s="156">
        <f t="shared" si="60"/>
        <v>959</v>
      </c>
    </row>
    <row r="100" spans="1:39" s="38" customFormat="1" ht="18.75">
      <c r="A100" s="44"/>
      <c r="B100" s="44"/>
      <c r="C100" s="45">
        <v>18</v>
      </c>
      <c r="D100" s="67" t="s">
        <v>167</v>
      </c>
      <c r="E100" s="47" t="s">
        <v>320</v>
      </c>
      <c r="F100" s="118">
        <f>10552-71</f>
        <v>10481</v>
      </c>
      <c r="G100" s="118"/>
      <c r="H100" s="109">
        <f t="shared" si="53"/>
        <v>10481</v>
      </c>
      <c r="I100" s="109"/>
      <c r="J100" s="109"/>
      <c r="K100" s="109">
        <f t="shared" si="54"/>
        <v>10481</v>
      </c>
      <c r="L100" s="109">
        <f>318</f>
        <v>318</v>
      </c>
      <c r="M100" s="109"/>
      <c r="N100" s="109">
        <f t="shared" si="55"/>
        <v>10799</v>
      </c>
      <c r="O100" s="128"/>
      <c r="P100" s="109"/>
      <c r="Q100" s="109"/>
      <c r="R100" s="109">
        <f t="shared" si="56"/>
        <v>10799</v>
      </c>
      <c r="S100" s="109"/>
      <c r="T100" s="109"/>
      <c r="U100" s="84">
        <f t="shared" si="57"/>
        <v>10799</v>
      </c>
      <c r="V100" s="85"/>
      <c r="W100" s="85"/>
      <c r="X100" s="84">
        <f t="shared" si="58"/>
        <v>10799</v>
      </c>
      <c r="AI100" s="85"/>
      <c r="AJ100" s="156">
        <f t="shared" si="59"/>
        <v>10799</v>
      </c>
      <c r="AK100" s="85"/>
      <c r="AL100" s="85"/>
      <c r="AM100" s="156">
        <f t="shared" si="60"/>
        <v>10799</v>
      </c>
    </row>
    <row r="101" spans="1:39" s="38" customFormat="1" ht="37.5">
      <c r="A101" s="44"/>
      <c r="B101" s="44"/>
      <c r="C101" s="45">
        <v>19</v>
      </c>
      <c r="D101" s="152" t="s">
        <v>525</v>
      </c>
      <c r="E101" s="47" t="s">
        <v>524</v>
      </c>
      <c r="F101" s="118"/>
      <c r="G101" s="118">
        <v>89406</v>
      </c>
      <c r="H101" s="109">
        <f t="shared" si="53"/>
        <v>89406</v>
      </c>
      <c r="I101" s="109"/>
      <c r="J101" s="109"/>
      <c r="K101" s="109">
        <f t="shared" si="54"/>
        <v>89406</v>
      </c>
      <c r="L101" s="109"/>
      <c r="M101" s="109">
        <f>-8518</f>
        <v>-8518</v>
      </c>
      <c r="N101" s="109">
        <f t="shared" si="55"/>
        <v>80888</v>
      </c>
      <c r="O101" s="128"/>
      <c r="P101" s="109"/>
      <c r="Q101" s="109"/>
      <c r="R101" s="109">
        <f t="shared" si="56"/>
        <v>80888</v>
      </c>
      <c r="S101" s="109"/>
      <c r="T101" s="109"/>
      <c r="U101" s="84">
        <f t="shared" si="57"/>
        <v>80888</v>
      </c>
      <c r="V101" s="85"/>
      <c r="W101" s="85"/>
      <c r="X101" s="84">
        <f t="shared" si="58"/>
        <v>80888</v>
      </c>
      <c r="AI101" s="85"/>
      <c r="AJ101" s="156">
        <f t="shared" si="59"/>
        <v>80888</v>
      </c>
      <c r="AK101" s="85"/>
      <c r="AL101" s="85"/>
      <c r="AM101" s="156">
        <f t="shared" si="60"/>
        <v>80888</v>
      </c>
    </row>
    <row r="102" spans="1:39" s="38" customFormat="1" ht="18.75">
      <c r="A102" s="44"/>
      <c r="B102" s="44"/>
      <c r="C102" s="45">
        <v>20</v>
      </c>
      <c r="D102" s="152" t="s">
        <v>414</v>
      </c>
      <c r="E102" s="47" t="s">
        <v>583</v>
      </c>
      <c r="F102" s="118">
        <v>115376</v>
      </c>
      <c r="G102" s="118">
        <v>123283</v>
      </c>
      <c r="H102" s="109">
        <f t="shared" si="53"/>
        <v>238659</v>
      </c>
      <c r="I102" s="109"/>
      <c r="J102" s="109"/>
      <c r="K102" s="109">
        <f t="shared" si="54"/>
        <v>238659</v>
      </c>
      <c r="L102" s="109"/>
      <c r="M102" s="109">
        <f>-2300</f>
        <v>-2300</v>
      </c>
      <c r="N102" s="109">
        <f t="shared" si="55"/>
        <v>236359</v>
      </c>
      <c r="O102" s="128"/>
      <c r="P102" s="109"/>
      <c r="Q102" s="109"/>
      <c r="R102" s="109">
        <f t="shared" si="56"/>
        <v>236359</v>
      </c>
      <c r="S102" s="109"/>
      <c r="T102" s="109"/>
      <c r="U102" s="84">
        <f t="shared" si="57"/>
        <v>236359</v>
      </c>
      <c r="V102" s="85"/>
      <c r="W102" s="84">
        <f>-750-24445</f>
        <v>-25195</v>
      </c>
      <c r="X102" s="84">
        <f t="shared" si="58"/>
        <v>211164</v>
      </c>
      <c r="AI102" s="85"/>
      <c r="AJ102" s="156">
        <f t="shared" si="59"/>
        <v>211164</v>
      </c>
      <c r="AK102" s="85"/>
      <c r="AL102" s="85"/>
      <c r="AM102" s="156">
        <f t="shared" si="60"/>
        <v>211164</v>
      </c>
    </row>
    <row r="103" spans="1:39" s="38" customFormat="1" ht="18.75" hidden="1">
      <c r="A103" s="44"/>
      <c r="B103" s="44"/>
      <c r="C103" s="45">
        <v>21</v>
      </c>
      <c r="D103" s="152" t="s">
        <v>523</v>
      </c>
      <c r="E103" s="47" t="s">
        <v>522</v>
      </c>
      <c r="F103" s="118"/>
      <c r="G103" s="118">
        <v>134993</v>
      </c>
      <c r="H103" s="109">
        <f t="shared" si="53"/>
        <v>134993</v>
      </c>
      <c r="I103" s="109"/>
      <c r="J103" s="109"/>
      <c r="K103" s="109">
        <f t="shared" si="54"/>
        <v>134993</v>
      </c>
      <c r="L103" s="109"/>
      <c r="M103" s="109">
        <f>-134993</f>
        <v>-134993</v>
      </c>
      <c r="N103" s="109">
        <f t="shared" si="55"/>
        <v>0</v>
      </c>
      <c r="O103" s="128"/>
      <c r="P103" s="109"/>
      <c r="Q103" s="109"/>
      <c r="R103" s="109">
        <f t="shared" si="56"/>
        <v>0</v>
      </c>
      <c r="S103" s="109"/>
      <c r="T103" s="109"/>
      <c r="U103" s="84">
        <f t="shared" si="57"/>
        <v>0</v>
      </c>
      <c r="V103" s="85"/>
      <c r="W103" s="85"/>
      <c r="X103" s="84">
        <f t="shared" si="58"/>
        <v>0</v>
      </c>
      <c r="AI103" s="85"/>
      <c r="AJ103" s="156">
        <f t="shared" si="59"/>
        <v>0</v>
      </c>
      <c r="AK103" s="85"/>
      <c r="AL103" s="85"/>
      <c r="AM103" s="157">
        <f t="shared" si="60"/>
        <v>0</v>
      </c>
    </row>
    <row r="104" spans="1:39" s="38" customFormat="1" ht="56.25">
      <c r="A104" s="44"/>
      <c r="B104" s="44"/>
      <c r="C104" s="45">
        <v>22</v>
      </c>
      <c r="D104" s="152" t="s">
        <v>415</v>
      </c>
      <c r="E104" s="47" t="s">
        <v>584</v>
      </c>
      <c r="F104" s="118">
        <v>71465</v>
      </c>
      <c r="G104" s="118"/>
      <c r="H104" s="109">
        <f t="shared" si="53"/>
        <v>71465</v>
      </c>
      <c r="I104" s="109"/>
      <c r="J104" s="109"/>
      <c r="K104" s="109">
        <f t="shared" si="54"/>
        <v>71465</v>
      </c>
      <c r="L104" s="109"/>
      <c r="M104" s="109"/>
      <c r="N104" s="109">
        <f t="shared" si="55"/>
        <v>71465</v>
      </c>
      <c r="O104" s="128"/>
      <c r="P104" s="109"/>
      <c r="Q104" s="109"/>
      <c r="R104" s="109">
        <f t="shared" si="56"/>
        <v>71465</v>
      </c>
      <c r="S104" s="109"/>
      <c r="T104" s="109"/>
      <c r="U104" s="84">
        <f t="shared" si="57"/>
        <v>71465</v>
      </c>
      <c r="V104" s="85"/>
      <c r="W104" s="85"/>
      <c r="X104" s="84">
        <f t="shared" si="58"/>
        <v>71465</v>
      </c>
      <c r="AI104" s="85"/>
      <c r="AJ104" s="156">
        <f t="shared" si="59"/>
        <v>71465</v>
      </c>
      <c r="AK104" s="85"/>
      <c r="AL104" s="85"/>
      <c r="AM104" s="157">
        <f t="shared" si="60"/>
        <v>71465</v>
      </c>
    </row>
    <row r="105" spans="1:39" s="38" customFormat="1" ht="37.5" hidden="1">
      <c r="A105" s="44"/>
      <c r="B105" s="44"/>
      <c r="C105" s="45">
        <v>23</v>
      </c>
      <c r="D105" s="152" t="s">
        <v>416</v>
      </c>
      <c r="E105" s="47" t="s">
        <v>321</v>
      </c>
      <c r="F105" s="118"/>
      <c r="G105" s="118"/>
      <c r="H105" s="109">
        <f t="shared" si="53"/>
        <v>0</v>
      </c>
      <c r="I105" s="109"/>
      <c r="J105" s="109"/>
      <c r="K105" s="109">
        <f t="shared" si="54"/>
        <v>0</v>
      </c>
      <c r="L105" s="109"/>
      <c r="M105" s="109"/>
      <c r="N105" s="109">
        <f t="shared" si="55"/>
        <v>0</v>
      </c>
      <c r="O105" s="128"/>
      <c r="P105" s="109"/>
      <c r="Q105" s="109"/>
      <c r="R105" s="109">
        <f t="shared" si="56"/>
        <v>0</v>
      </c>
      <c r="S105" s="109"/>
      <c r="T105" s="109"/>
      <c r="U105" s="84">
        <f t="shared" si="57"/>
        <v>0</v>
      </c>
      <c r="V105" s="85"/>
      <c r="W105" s="85"/>
      <c r="X105" s="84">
        <f t="shared" si="58"/>
        <v>0</v>
      </c>
      <c r="AI105" s="85"/>
      <c r="AJ105" s="156">
        <f t="shared" si="59"/>
        <v>0</v>
      </c>
      <c r="AK105" s="85"/>
      <c r="AL105" s="85"/>
      <c r="AM105" s="156">
        <f t="shared" si="60"/>
        <v>0</v>
      </c>
    </row>
    <row r="106" spans="1:39" s="38" customFormat="1" ht="37.5">
      <c r="A106" s="44"/>
      <c r="B106" s="44"/>
      <c r="C106" s="45">
        <v>26</v>
      </c>
      <c r="D106" s="152" t="s">
        <v>521</v>
      </c>
      <c r="E106" s="47" t="s">
        <v>520</v>
      </c>
      <c r="F106" s="118"/>
      <c r="G106" s="118">
        <v>432666</v>
      </c>
      <c r="H106" s="109">
        <f t="shared" si="53"/>
        <v>432666</v>
      </c>
      <c r="I106" s="109"/>
      <c r="J106" s="109"/>
      <c r="K106" s="109">
        <f t="shared" si="54"/>
        <v>432666</v>
      </c>
      <c r="L106" s="109"/>
      <c r="M106" s="109"/>
      <c r="N106" s="109">
        <f t="shared" si="55"/>
        <v>432666</v>
      </c>
      <c r="O106" s="128"/>
      <c r="P106" s="109"/>
      <c r="Q106" s="109"/>
      <c r="R106" s="109">
        <f t="shared" si="56"/>
        <v>432666</v>
      </c>
      <c r="S106" s="109"/>
      <c r="T106" s="109"/>
      <c r="U106" s="84">
        <f t="shared" si="57"/>
        <v>432666</v>
      </c>
      <c r="V106" s="85"/>
      <c r="W106" s="85"/>
      <c r="X106" s="84">
        <f t="shared" si="58"/>
        <v>432666</v>
      </c>
      <c r="AI106" s="85"/>
      <c r="AJ106" s="156">
        <f t="shared" si="59"/>
        <v>432666</v>
      </c>
      <c r="AK106" s="85"/>
      <c r="AL106" s="85"/>
      <c r="AM106" s="156">
        <f t="shared" si="60"/>
        <v>432666</v>
      </c>
    </row>
    <row r="107" spans="1:39" s="38" customFormat="1" ht="56.25">
      <c r="A107" s="44"/>
      <c r="B107" s="44"/>
      <c r="C107" s="45">
        <v>27</v>
      </c>
      <c r="D107" s="152" t="s">
        <v>417</v>
      </c>
      <c r="E107" s="47" t="s">
        <v>585</v>
      </c>
      <c r="F107" s="118">
        <v>69435</v>
      </c>
      <c r="G107" s="118">
        <v>116031</v>
      </c>
      <c r="H107" s="109">
        <f t="shared" si="53"/>
        <v>185466</v>
      </c>
      <c r="I107" s="109"/>
      <c r="J107" s="109"/>
      <c r="K107" s="109">
        <f t="shared" si="54"/>
        <v>185466</v>
      </c>
      <c r="L107" s="109"/>
      <c r="M107" s="109">
        <f>-13717</f>
        <v>-13717</v>
      </c>
      <c r="N107" s="109">
        <f t="shared" si="55"/>
        <v>171749</v>
      </c>
      <c r="O107" s="128"/>
      <c r="P107" s="109"/>
      <c r="Q107" s="109"/>
      <c r="R107" s="109">
        <f t="shared" si="56"/>
        <v>171749</v>
      </c>
      <c r="S107" s="109"/>
      <c r="T107" s="109"/>
      <c r="U107" s="84">
        <f t="shared" si="57"/>
        <v>171749</v>
      </c>
      <c r="V107" s="84"/>
      <c r="W107" s="84"/>
      <c r="X107" s="84">
        <f t="shared" si="58"/>
        <v>171749</v>
      </c>
      <c r="AI107" s="84"/>
      <c r="AJ107" s="156">
        <f t="shared" si="59"/>
        <v>171749</v>
      </c>
      <c r="AK107" s="84"/>
      <c r="AL107" s="84"/>
      <c r="AM107" s="156">
        <f t="shared" si="60"/>
        <v>171749</v>
      </c>
    </row>
    <row r="108" spans="1:39" s="53" customFormat="1" ht="18.75">
      <c r="A108" s="64"/>
      <c r="B108" s="64"/>
      <c r="C108" s="65">
        <v>28</v>
      </c>
      <c r="D108" s="67" t="s">
        <v>418</v>
      </c>
      <c r="E108" s="67" t="s">
        <v>586</v>
      </c>
      <c r="F108" s="118">
        <v>22116</v>
      </c>
      <c r="G108" s="118"/>
      <c r="H108" s="109">
        <f t="shared" si="53"/>
        <v>22116</v>
      </c>
      <c r="I108" s="109"/>
      <c r="J108" s="109"/>
      <c r="K108" s="109">
        <f t="shared" si="54"/>
        <v>22116</v>
      </c>
      <c r="L108" s="109">
        <f>368</f>
        <v>368</v>
      </c>
      <c r="M108" s="109"/>
      <c r="N108" s="109">
        <f t="shared" si="55"/>
        <v>22484</v>
      </c>
      <c r="O108" s="128"/>
      <c r="P108" s="109"/>
      <c r="Q108" s="109"/>
      <c r="R108" s="109">
        <f t="shared" si="56"/>
        <v>22484</v>
      </c>
      <c r="S108" s="109"/>
      <c r="T108" s="109"/>
      <c r="U108" s="84">
        <f t="shared" si="57"/>
        <v>22484</v>
      </c>
      <c r="V108" s="84"/>
      <c r="W108" s="84">
        <f>-4836-5008</f>
        <v>-9844</v>
      </c>
      <c r="X108" s="84">
        <f t="shared" si="58"/>
        <v>12640</v>
      </c>
      <c r="AI108" s="84"/>
      <c r="AJ108" s="156">
        <f t="shared" si="59"/>
        <v>12640</v>
      </c>
      <c r="AK108" s="84"/>
      <c r="AL108" s="84"/>
      <c r="AM108" s="156">
        <f t="shared" si="60"/>
        <v>12640</v>
      </c>
    </row>
    <row r="109" spans="1:39" s="53" customFormat="1" ht="18.75">
      <c r="A109" s="64"/>
      <c r="B109" s="64"/>
      <c r="C109" s="65">
        <v>29</v>
      </c>
      <c r="D109" s="69" t="s">
        <v>420</v>
      </c>
      <c r="E109" s="67" t="s">
        <v>322</v>
      </c>
      <c r="F109" s="118">
        <v>26160</v>
      </c>
      <c r="G109" s="118"/>
      <c r="H109" s="109">
        <f t="shared" si="53"/>
        <v>26160</v>
      </c>
      <c r="I109" s="109"/>
      <c r="J109" s="109"/>
      <c r="K109" s="109">
        <f t="shared" si="54"/>
        <v>26160</v>
      </c>
      <c r="L109" s="109">
        <f>695</f>
        <v>695</v>
      </c>
      <c r="M109" s="109"/>
      <c r="N109" s="109">
        <f t="shared" si="55"/>
        <v>26855</v>
      </c>
      <c r="O109" s="128"/>
      <c r="P109" s="109"/>
      <c r="Q109" s="109"/>
      <c r="R109" s="109">
        <f t="shared" si="56"/>
        <v>26855</v>
      </c>
      <c r="S109" s="109"/>
      <c r="T109" s="109"/>
      <c r="U109" s="84">
        <f t="shared" si="57"/>
        <v>26855</v>
      </c>
      <c r="V109" s="84"/>
      <c r="W109" s="84"/>
      <c r="X109" s="84">
        <f t="shared" si="58"/>
        <v>26855</v>
      </c>
      <c r="AI109" s="84"/>
      <c r="AJ109" s="156">
        <f t="shared" si="59"/>
        <v>26855</v>
      </c>
      <c r="AK109" s="84"/>
      <c r="AL109" s="84"/>
      <c r="AM109" s="156">
        <f t="shared" si="60"/>
        <v>26855</v>
      </c>
    </row>
    <row r="110" spans="1:39" s="53" customFormat="1" ht="37.5">
      <c r="A110" s="64"/>
      <c r="B110" s="64"/>
      <c r="C110" s="65">
        <v>31</v>
      </c>
      <c r="D110" s="67" t="s">
        <v>131</v>
      </c>
      <c r="E110" s="67" t="s">
        <v>127</v>
      </c>
      <c r="F110" s="118"/>
      <c r="G110" s="118"/>
      <c r="H110" s="109">
        <f t="shared" si="53"/>
        <v>0</v>
      </c>
      <c r="I110" s="109"/>
      <c r="J110" s="109"/>
      <c r="K110" s="109">
        <f>I110+J110</f>
        <v>0</v>
      </c>
      <c r="L110" s="109">
        <f>1300.8+1536</f>
        <v>2836.8</v>
      </c>
      <c r="M110" s="109"/>
      <c r="N110" s="109">
        <f>L110+M110</f>
        <v>2836.8</v>
      </c>
      <c r="O110" s="128"/>
      <c r="P110" s="109"/>
      <c r="Q110" s="109"/>
      <c r="R110" s="109">
        <f t="shared" si="56"/>
        <v>2836.8</v>
      </c>
      <c r="S110" s="109"/>
      <c r="T110" s="109"/>
      <c r="U110" s="84">
        <f t="shared" si="57"/>
        <v>2836.8</v>
      </c>
      <c r="V110" s="84"/>
      <c r="W110" s="84"/>
      <c r="X110" s="84">
        <f t="shared" si="58"/>
        <v>2836.8</v>
      </c>
      <c r="AI110" s="84"/>
      <c r="AJ110" s="156">
        <f t="shared" si="59"/>
        <v>2836.8</v>
      </c>
      <c r="AK110" s="84"/>
      <c r="AL110" s="84"/>
      <c r="AM110" s="156">
        <f t="shared" si="60"/>
        <v>2836.8</v>
      </c>
    </row>
    <row r="111" spans="1:39" s="53" customFormat="1" ht="37.5">
      <c r="A111" s="64"/>
      <c r="B111" s="64"/>
      <c r="C111" s="65">
        <v>32</v>
      </c>
      <c r="D111" s="67" t="s">
        <v>132</v>
      </c>
      <c r="E111" s="67" t="s">
        <v>116</v>
      </c>
      <c r="F111" s="118"/>
      <c r="G111" s="118"/>
      <c r="H111" s="109"/>
      <c r="I111" s="109"/>
      <c r="J111" s="109"/>
      <c r="K111" s="109"/>
      <c r="L111" s="109">
        <v>1508</v>
      </c>
      <c r="M111" s="109"/>
      <c r="N111" s="109">
        <f>K111+L111+M111</f>
        <v>1508</v>
      </c>
      <c r="O111" s="128"/>
      <c r="P111" s="109"/>
      <c r="Q111" s="109"/>
      <c r="R111" s="109">
        <f t="shared" si="56"/>
        <v>1508</v>
      </c>
      <c r="S111" s="109"/>
      <c r="T111" s="109"/>
      <c r="U111" s="84">
        <f t="shared" si="57"/>
        <v>1508</v>
      </c>
      <c r="V111" s="84"/>
      <c r="W111" s="84"/>
      <c r="X111" s="84">
        <f t="shared" si="58"/>
        <v>1508</v>
      </c>
      <c r="AI111" s="84"/>
      <c r="AJ111" s="156">
        <f t="shared" si="59"/>
        <v>1508</v>
      </c>
      <c r="AK111" s="84"/>
      <c r="AL111" s="84"/>
      <c r="AM111" s="156">
        <f t="shared" si="60"/>
        <v>1508</v>
      </c>
    </row>
    <row r="112" spans="1:39" s="53" customFormat="1" ht="37.5">
      <c r="A112" s="64"/>
      <c r="B112" s="64"/>
      <c r="C112" s="65">
        <v>33</v>
      </c>
      <c r="D112" s="69" t="s">
        <v>419</v>
      </c>
      <c r="E112" s="67" t="s">
        <v>491</v>
      </c>
      <c r="F112" s="118">
        <v>406015</v>
      </c>
      <c r="G112" s="118">
        <f>1110531</f>
        <v>1110531</v>
      </c>
      <c r="H112" s="109">
        <f t="shared" si="53"/>
        <v>1516546</v>
      </c>
      <c r="I112" s="109"/>
      <c r="J112" s="109"/>
      <c r="K112" s="109">
        <f>H112+I112+J112</f>
        <v>1516546</v>
      </c>
      <c r="L112" s="109">
        <v>14000</v>
      </c>
      <c r="M112" s="109"/>
      <c r="N112" s="109">
        <f>K112+L112+M112</f>
        <v>1530546</v>
      </c>
      <c r="O112" s="128"/>
      <c r="P112" s="109"/>
      <c r="Q112" s="109"/>
      <c r="R112" s="109">
        <f t="shared" si="56"/>
        <v>1530546</v>
      </c>
      <c r="S112" s="109"/>
      <c r="T112" s="109"/>
      <c r="U112" s="84">
        <f t="shared" si="57"/>
        <v>1530546</v>
      </c>
      <c r="V112" s="84"/>
      <c r="W112" s="84"/>
      <c r="X112" s="84">
        <f t="shared" si="58"/>
        <v>1530546</v>
      </c>
      <c r="AI112" s="84"/>
      <c r="AJ112" s="156">
        <f t="shared" si="59"/>
        <v>1530546</v>
      </c>
      <c r="AK112" s="84"/>
      <c r="AL112" s="84"/>
      <c r="AM112" s="156">
        <f t="shared" si="60"/>
        <v>1530546</v>
      </c>
    </row>
    <row r="113" spans="1:39" s="38" customFormat="1" ht="37.5">
      <c r="A113" s="44"/>
      <c r="B113" s="44"/>
      <c r="C113" s="45">
        <v>36</v>
      </c>
      <c r="D113" s="152" t="s">
        <v>519</v>
      </c>
      <c r="E113" s="47" t="s">
        <v>518</v>
      </c>
      <c r="F113" s="118"/>
      <c r="G113" s="118">
        <v>29026</v>
      </c>
      <c r="H113" s="109">
        <f t="shared" si="53"/>
        <v>29026</v>
      </c>
      <c r="I113" s="109"/>
      <c r="J113" s="109"/>
      <c r="K113" s="109">
        <f>H113+I113+J113</f>
        <v>29026</v>
      </c>
      <c r="L113" s="109"/>
      <c r="M113" s="109"/>
      <c r="N113" s="109">
        <f>K113+L113+M113</f>
        <v>29026</v>
      </c>
      <c r="O113" s="128"/>
      <c r="P113" s="109"/>
      <c r="Q113" s="109"/>
      <c r="R113" s="109">
        <f t="shared" si="56"/>
        <v>29026</v>
      </c>
      <c r="S113" s="109"/>
      <c r="T113" s="109"/>
      <c r="U113" s="84">
        <f t="shared" si="57"/>
        <v>29026</v>
      </c>
      <c r="V113" s="84"/>
      <c r="W113" s="84"/>
      <c r="X113" s="84">
        <f t="shared" si="58"/>
        <v>29026</v>
      </c>
      <c r="AI113" s="84"/>
      <c r="AJ113" s="156">
        <f t="shared" si="59"/>
        <v>29026</v>
      </c>
      <c r="AK113" s="84"/>
      <c r="AL113" s="84"/>
      <c r="AM113" s="156">
        <f t="shared" si="60"/>
        <v>29026</v>
      </c>
    </row>
    <row r="114" spans="1:39" s="38" customFormat="1" ht="37.5">
      <c r="A114" s="44"/>
      <c r="B114" s="44"/>
      <c r="C114" s="45">
        <v>37</v>
      </c>
      <c r="D114" s="152" t="s">
        <v>312</v>
      </c>
      <c r="E114" s="47" t="s">
        <v>311</v>
      </c>
      <c r="F114" s="118">
        <v>264274</v>
      </c>
      <c r="G114" s="118"/>
      <c r="H114" s="109">
        <f t="shared" si="53"/>
        <v>264274</v>
      </c>
      <c r="I114" s="109"/>
      <c r="J114" s="109"/>
      <c r="K114" s="109">
        <f>H114+I114+J114</f>
        <v>264274</v>
      </c>
      <c r="L114" s="109">
        <f>53532+2030-0.1+62503</f>
        <v>118064.9</v>
      </c>
      <c r="M114" s="109"/>
      <c r="N114" s="109">
        <f>K114+L114+M114</f>
        <v>382338.9</v>
      </c>
      <c r="O114" s="128"/>
      <c r="P114" s="109"/>
      <c r="Q114" s="109"/>
      <c r="R114" s="109">
        <f t="shared" si="56"/>
        <v>382338.9</v>
      </c>
      <c r="S114" s="109"/>
      <c r="T114" s="109"/>
      <c r="U114" s="84">
        <f t="shared" si="57"/>
        <v>382338.9</v>
      </c>
      <c r="V114" s="84">
        <f>64205-19897</f>
        <v>44308</v>
      </c>
      <c r="W114" s="84"/>
      <c r="X114" s="84">
        <f t="shared" si="58"/>
        <v>426646.9</v>
      </c>
      <c r="AI114" s="84"/>
      <c r="AJ114" s="156">
        <f t="shared" si="59"/>
        <v>426646.9</v>
      </c>
      <c r="AK114" s="84"/>
      <c r="AL114" s="84"/>
      <c r="AM114" s="156">
        <f t="shared" si="60"/>
        <v>426646.9</v>
      </c>
    </row>
    <row r="115" spans="1:39" s="38" customFormat="1" ht="18.75">
      <c r="A115" s="39"/>
      <c r="B115" s="39">
        <v>271</v>
      </c>
      <c r="C115" s="40"/>
      <c r="D115" s="40" t="s">
        <v>401</v>
      </c>
      <c r="E115" s="42" t="s">
        <v>560</v>
      </c>
      <c r="F115" s="116">
        <f aca="true" t="shared" si="61" ref="F115:X115">F116</f>
        <v>10000</v>
      </c>
      <c r="G115" s="116">
        <f t="shared" si="61"/>
        <v>2958638</v>
      </c>
      <c r="H115" s="117">
        <f t="shared" si="61"/>
        <v>2968638</v>
      </c>
      <c r="I115" s="117">
        <f t="shared" si="61"/>
        <v>0</v>
      </c>
      <c r="J115" s="117">
        <f t="shared" si="61"/>
        <v>0</v>
      </c>
      <c r="K115" s="117">
        <f t="shared" si="61"/>
        <v>2968638</v>
      </c>
      <c r="L115" s="117">
        <f t="shared" si="61"/>
        <v>58282</v>
      </c>
      <c r="M115" s="117">
        <f t="shared" si="61"/>
        <v>0</v>
      </c>
      <c r="N115" s="117">
        <f t="shared" si="61"/>
        <v>3026920</v>
      </c>
      <c r="O115" s="128"/>
      <c r="P115" s="117">
        <f t="shared" si="61"/>
        <v>0</v>
      </c>
      <c r="Q115" s="117">
        <f t="shared" si="61"/>
        <v>0</v>
      </c>
      <c r="R115" s="117">
        <f t="shared" si="61"/>
        <v>3026920</v>
      </c>
      <c r="S115" s="117">
        <f t="shared" si="61"/>
        <v>0</v>
      </c>
      <c r="T115" s="117">
        <f t="shared" si="61"/>
        <v>0</v>
      </c>
      <c r="U115" s="83">
        <f t="shared" si="61"/>
        <v>3026920</v>
      </c>
      <c r="V115" s="83">
        <f t="shared" si="61"/>
        <v>30262</v>
      </c>
      <c r="W115" s="83">
        <f t="shared" si="61"/>
        <v>0</v>
      </c>
      <c r="X115" s="83">
        <f t="shared" si="61"/>
        <v>3057182</v>
      </c>
      <c r="AI115" s="83">
        <f>AI116</f>
        <v>0</v>
      </c>
      <c r="AJ115" s="83">
        <f>AJ116</f>
        <v>3057182</v>
      </c>
      <c r="AK115" s="83">
        <f>AK116</f>
        <v>25000</v>
      </c>
      <c r="AL115" s="83">
        <f>AL116</f>
        <v>-25000</v>
      </c>
      <c r="AM115" s="83">
        <f>AM116</f>
        <v>3057182</v>
      </c>
    </row>
    <row r="116" spans="1:39" s="38" customFormat="1" ht="18.75">
      <c r="A116" s="44"/>
      <c r="B116" s="44"/>
      <c r="C116" s="45">
        <v>38</v>
      </c>
      <c r="D116" s="47" t="s">
        <v>421</v>
      </c>
      <c r="E116" s="47" t="s">
        <v>587</v>
      </c>
      <c r="F116" s="118">
        <v>10000</v>
      </c>
      <c r="G116" s="118">
        <v>2958638</v>
      </c>
      <c r="H116" s="109">
        <f>F116+G116</f>
        <v>2968638</v>
      </c>
      <c r="I116" s="109"/>
      <c r="J116" s="109"/>
      <c r="K116" s="109">
        <f>H116+I116+J116</f>
        <v>2968638</v>
      </c>
      <c r="L116" s="109">
        <f>1300+800+56043.8+138.2</f>
        <v>58282</v>
      </c>
      <c r="M116" s="109"/>
      <c r="N116" s="109">
        <f>K116+L116+M116</f>
        <v>3026920</v>
      </c>
      <c r="O116" s="128"/>
      <c r="P116" s="109"/>
      <c r="Q116" s="109"/>
      <c r="R116" s="109">
        <f t="shared" si="56"/>
        <v>3026920</v>
      </c>
      <c r="S116" s="109"/>
      <c r="T116" s="109"/>
      <c r="U116" s="84">
        <f t="shared" si="57"/>
        <v>3026920</v>
      </c>
      <c r="V116" s="84">
        <f>26862+3400</f>
        <v>30262</v>
      </c>
      <c r="W116" s="85"/>
      <c r="X116" s="84">
        <f t="shared" si="58"/>
        <v>3057182</v>
      </c>
      <c r="AI116" s="84"/>
      <c r="AJ116" s="156">
        <f t="shared" si="59"/>
        <v>3057182</v>
      </c>
      <c r="AK116" s="84">
        <v>25000</v>
      </c>
      <c r="AL116" s="84">
        <f>-25000</f>
        <v>-25000</v>
      </c>
      <c r="AM116" s="156">
        <f>AJ116+AK116+AL116</f>
        <v>3057182</v>
      </c>
    </row>
    <row r="117" spans="1:39" s="38" customFormat="1" ht="18.75">
      <c r="A117" s="34">
        <v>6</v>
      </c>
      <c r="B117" s="34"/>
      <c r="C117" s="35"/>
      <c r="D117" s="35" t="s">
        <v>517</v>
      </c>
      <c r="E117" s="37" t="s">
        <v>588</v>
      </c>
      <c r="F117" s="116">
        <f aca="true" t="shared" si="62" ref="F117:N117">F118+F136+F138</f>
        <v>2265667</v>
      </c>
      <c r="G117" s="116">
        <f t="shared" si="62"/>
        <v>920672</v>
      </c>
      <c r="H117" s="117">
        <f t="shared" si="62"/>
        <v>3186339</v>
      </c>
      <c r="I117" s="117">
        <f t="shared" si="62"/>
        <v>0</v>
      </c>
      <c r="J117" s="117">
        <f t="shared" si="62"/>
        <v>0</v>
      </c>
      <c r="K117" s="117">
        <f t="shared" si="62"/>
        <v>3186339</v>
      </c>
      <c r="L117" s="117">
        <f t="shared" si="62"/>
        <v>36184</v>
      </c>
      <c r="M117" s="117">
        <f t="shared" si="62"/>
        <v>-129793</v>
      </c>
      <c r="N117" s="117">
        <f t="shared" si="62"/>
        <v>3092730</v>
      </c>
      <c r="O117" s="128"/>
      <c r="P117" s="117">
        <f aca="true" t="shared" si="63" ref="P117:U117">P118+P136+P138</f>
        <v>0</v>
      </c>
      <c r="Q117" s="117">
        <f t="shared" si="63"/>
        <v>0</v>
      </c>
      <c r="R117" s="117">
        <f t="shared" si="63"/>
        <v>3092730</v>
      </c>
      <c r="S117" s="117">
        <f t="shared" si="63"/>
        <v>0</v>
      </c>
      <c r="T117" s="117">
        <f t="shared" si="63"/>
        <v>0</v>
      </c>
      <c r="U117" s="82">
        <f t="shared" si="63"/>
        <v>3092730</v>
      </c>
      <c r="V117" s="82">
        <f>V118+V136+V138</f>
        <v>13536.5</v>
      </c>
      <c r="W117" s="82">
        <f>W118+W136+W138</f>
        <v>-71639.9</v>
      </c>
      <c r="X117" s="82">
        <f>X118+X136+X138</f>
        <v>3034626.6</v>
      </c>
      <c r="AI117" s="82">
        <f>AI118+AI136+AI138</f>
        <v>0</v>
      </c>
      <c r="AJ117" s="82">
        <f>AJ118+AJ136+AJ138</f>
        <v>3034626.6</v>
      </c>
      <c r="AK117" s="82">
        <f>AK118+AK136+AK138</f>
        <v>0</v>
      </c>
      <c r="AL117" s="82">
        <f>AL118+AL136+AL138</f>
        <v>0</v>
      </c>
      <c r="AM117" s="82">
        <f>AM118+AM136+AM138</f>
        <v>3034626.6</v>
      </c>
    </row>
    <row r="118" spans="1:39" s="38" customFormat="1" ht="37.5">
      <c r="A118" s="39"/>
      <c r="B118" s="39">
        <v>256</v>
      </c>
      <c r="C118" s="40"/>
      <c r="D118" s="42" t="s">
        <v>526</v>
      </c>
      <c r="E118" s="42" t="s">
        <v>589</v>
      </c>
      <c r="F118" s="117">
        <f aca="true" t="shared" si="64" ref="F118:N118">SUM(F119:F135)</f>
        <v>991336</v>
      </c>
      <c r="G118" s="117">
        <f t="shared" si="64"/>
        <v>902840</v>
      </c>
      <c r="H118" s="117">
        <f t="shared" si="64"/>
        <v>1894176</v>
      </c>
      <c r="I118" s="117">
        <f t="shared" si="64"/>
        <v>0</v>
      </c>
      <c r="J118" s="117">
        <f t="shared" si="64"/>
        <v>0</v>
      </c>
      <c r="K118" s="117">
        <f t="shared" si="64"/>
        <v>1894176</v>
      </c>
      <c r="L118" s="117">
        <f t="shared" si="64"/>
        <v>19888</v>
      </c>
      <c r="M118" s="117">
        <f t="shared" si="64"/>
        <v>-119793</v>
      </c>
      <c r="N118" s="117">
        <f t="shared" si="64"/>
        <v>1794271</v>
      </c>
      <c r="O118" s="128"/>
      <c r="P118" s="117">
        <f aca="true" t="shared" si="65" ref="P118:U118">SUM(P119:P135)</f>
        <v>0</v>
      </c>
      <c r="Q118" s="117">
        <f t="shared" si="65"/>
        <v>0</v>
      </c>
      <c r="R118" s="117">
        <f t="shared" si="65"/>
        <v>1794271</v>
      </c>
      <c r="S118" s="117">
        <f t="shared" si="65"/>
        <v>0</v>
      </c>
      <c r="T118" s="117">
        <f t="shared" si="65"/>
        <v>0</v>
      </c>
      <c r="U118" s="83">
        <f t="shared" si="65"/>
        <v>1794271</v>
      </c>
      <c r="V118" s="83">
        <f>SUM(V119:V135)</f>
        <v>13536.5</v>
      </c>
      <c r="W118" s="83">
        <f>SUM(W119:W135)</f>
        <v>-14334.9</v>
      </c>
      <c r="X118" s="83">
        <f>SUM(X119:X135)</f>
        <v>1793472.6</v>
      </c>
      <c r="AI118" s="83">
        <f>SUM(AI119:AI135)</f>
        <v>0</v>
      </c>
      <c r="AJ118" s="83">
        <f>SUM(AJ119:AJ135)</f>
        <v>1793472.6</v>
      </c>
      <c r="AK118" s="83">
        <f>SUM(AK119:AK135)</f>
        <v>0</v>
      </c>
      <c r="AL118" s="83">
        <f>SUM(AL119:AL135)</f>
        <v>0</v>
      </c>
      <c r="AM118" s="83">
        <f>SUM(AM119:AM135)</f>
        <v>1793472.6</v>
      </c>
    </row>
    <row r="119" spans="1:39" s="38" customFormat="1" ht="56.25">
      <c r="A119" s="44"/>
      <c r="B119" s="44"/>
      <c r="C119" s="45">
        <v>1</v>
      </c>
      <c r="D119" s="152" t="s">
        <v>527</v>
      </c>
      <c r="E119" s="47" t="s">
        <v>323</v>
      </c>
      <c r="F119" s="118">
        <v>60521</v>
      </c>
      <c r="G119" s="118"/>
      <c r="H119" s="109">
        <f aca="true" t="shared" si="66" ref="H119:H133">F119+G119</f>
        <v>60521</v>
      </c>
      <c r="I119" s="109"/>
      <c r="J119" s="109"/>
      <c r="K119" s="109">
        <f aca="true" t="shared" si="67" ref="K119:K133">H119+I119+J119</f>
        <v>60521</v>
      </c>
      <c r="L119" s="109">
        <f>1925</f>
        <v>1925</v>
      </c>
      <c r="M119" s="109"/>
      <c r="N119" s="109">
        <f aca="true" t="shared" si="68" ref="N119:N134">K119+L119+M119</f>
        <v>62446</v>
      </c>
      <c r="O119" s="128"/>
      <c r="P119" s="109"/>
      <c r="Q119" s="109"/>
      <c r="R119" s="109">
        <f aca="true" t="shared" si="69" ref="R119:R139">N119+P119+Q119</f>
        <v>62446</v>
      </c>
      <c r="S119" s="109"/>
      <c r="T119" s="109"/>
      <c r="U119" s="84">
        <f aca="true" t="shared" si="70" ref="U119:U139">Q119+R119</f>
        <v>62446</v>
      </c>
      <c r="V119" s="85">
        <f>736.9+741.6</f>
        <v>1478.5</v>
      </c>
      <c r="W119" s="85"/>
      <c r="X119" s="84">
        <f aca="true" t="shared" si="71" ref="X119:X139">U119+V119+W119</f>
        <v>63924.5</v>
      </c>
      <c r="AI119" s="85"/>
      <c r="AJ119" s="156">
        <f aca="true" t="shared" si="72" ref="AJ119:AJ139">X119+AI119</f>
        <v>63924.5</v>
      </c>
      <c r="AK119" s="85"/>
      <c r="AL119" s="85"/>
      <c r="AM119" s="156">
        <f aca="true" t="shared" si="73" ref="AM119:AM139">AJ119+AK119+AL119</f>
        <v>63924.5</v>
      </c>
    </row>
    <row r="120" spans="1:39" s="38" customFormat="1" ht="56.25">
      <c r="A120" s="44"/>
      <c r="B120" s="44"/>
      <c r="C120" s="45">
        <v>2</v>
      </c>
      <c r="D120" s="152" t="s">
        <v>530</v>
      </c>
      <c r="E120" s="47" t="s">
        <v>324</v>
      </c>
      <c r="F120" s="118">
        <f>265289-18680</f>
        <v>246609</v>
      </c>
      <c r="G120" s="118">
        <v>82501</v>
      </c>
      <c r="H120" s="109">
        <f t="shared" si="66"/>
        <v>329110</v>
      </c>
      <c r="I120" s="109"/>
      <c r="J120" s="109"/>
      <c r="K120" s="109">
        <f t="shared" si="67"/>
        <v>329110</v>
      </c>
      <c r="L120" s="109">
        <f>6509</f>
        <v>6509</v>
      </c>
      <c r="M120" s="109"/>
      <c r="N120" s="109">
        <f t="shared" si="68"/>
        <v>335619</v>
      </c>
      <c r="O120" s="128"/>
      <c r="P120" s="109"/>
      <c r="Q120" s="109"/>
      <c r="R120" s="109">
        <f t="shared" si="69"/>
        <v>335619</v>
      </c>
      <c r="S120" s="109"/>
      <c r="T120" s="109"/>
      <c r="U120" s="84">
        <f t="shared" si="70"/>
        <v>335619</v>
      </c>
      <c r="V120" s="85">
        <f>903+144</f>
        <v>1047</v>
      </c>
      <c r="W120" s="85">
        <f>-144</f>
        <v>-144</v>
      </c>
      <c r="X120" s="84">
        <f t="shared" si="71"/>
        <v>336522</v>
      </c>
      <c r="AI120" s="85"/>
      <c r="AJ120" s="156">
        <f t="shared" si="72"/>
        <v>336522</v>
      </c>
      <c r="AK120" s="85"/>
      <c r="AL120" s="85"/>
      <c r="AM120" s="157">
        <f t="shared" si="73"/>
        <v>336522</v>
      </c>
    </row>
    <row r="121" spans="1:39" s="38" customFormat="1" ht="18.75">
      <c r="A121" s="44"/>
      <c r="B121" s="44"/>
      <c r="C121" s="45">
        <v>3</v>
      </c>
      <c r="D121" s="152" t="s">
        <v>531</v>
      </c>
      <c r="E121" s="47" t="s">
        <v>590</v>
      </c>
      <c r="F121" s="118">
        <v>97809</v>
      </c>
      <c r="G121" s="118"/>
      <c r="H121" s="109">
        <f t="shared" si="66"/>
        <v>97809</v>
      </c>
      <c r="I121" s="109"/>
      <c r="J121" s="109"/>
      <c r="K121" s="109">
        <f t="shared" si="67"/>
        <v>97809</v>
      </c>
      <c r="L121" s="109"/>
      <c r="M121" s="109"/>
      <c r="N121" s="109">
        <f t="shared" si="68"/>
        <v>97809</v>
      </c>
      <c r="O121" s="128"/>
      <c r="P121" s="109"/>
      <c r="Q121" s="109"/>
      <c r="R121" s="109">
        <f t="shared" si="69"/>
        <v>97809</v>
      </c>
      <c r="S121" s="109"/>
      <c r="T121" s="109"/>
      <c r="U121" s="84">
        <f t="shared" si="70"/>
        <v>97809</v>
      </c>
      <c r="V121" s="85"/>
      <c r="W121" s="85">
        <f>-11201-737-1516</f>
        <v>-13454</v>
      </c>
      <c r="X121" s="84">
        <f t="shared" si="71"/>
        <v>84355</v>
      </c>
      <c r="AI121" s="85"/>
      <c r="AJ121" s="156">
        <f t="shared" si="72"/>
        <v>84355</v>
      </c>
      <c r="AK121" s="85"/>
      <c r="AL121" s="85"/>
      <c r="AM121" s="157">
        <f t="shared" si="73"/>
        <v>84355</v>
      </c>
    </row>
    <row r="122" spans="1:39" s="38" customFormat="1" ht="18.75">
      <c r="A122" s="44"/>
      <c r="B122" s="44"/>
      <c r="C122" s="45">
        <v>4</v>
      </c>
      <c r="D122" s="152" t="s">
        <v>352</v>
      </c>
      <c r="E122" s="47" t="s">
        <v>537</v>
      </c>
      <c r="F122" s="118">
        <v>2487</v>
      </c>
      <c r="G122" s="118"/>
      <c r="H122" s="109">
        <f t="shared" si="66"/>
        <v>2487</v>
      </c>
      <c r="I122" s="109"/>
      <c r="J122" s="109"/>
      <c r="K122" s="109">
        <f t="shared" si="67"/>
        <v>2487</v>
      </c>
      <c r="L122" s="109"/>
      <c r="M122" s="109"/>
      <c r="N122" s="109">
        <f t="shared" si="68"/>
        <v>2487</v>
      </c>
      <c r="O122" s="128"/>
      <c r="P122" s="109"/>
      <c r="Q122" s="109"/>
      <c r="R122" s="109">
        <f t="shared" si="69"/>
        <v>2487</v>
      </c>
      <c r="S122" s="109"/>
      <c r="T122" s="109"/>
      <c r="U122" s="84">
        <f t="shared" si="70"/>
        <v>2487</v>
      </c>
      <c r="V122" s="85"/>
      <c r="W122" s="85">
        <f>-736.9</f>
        <v>-736.9</v>
      </c>
      <c r="X122" s="84">
        <f t="shared" si="71"/>
        <v>1750.1</v>
      </c>
      <c r="AI122" s="85"/>
      <c r="AJ122" s="156">
        <f t="shared" si="72"/>
        <v>1750.1</v>
      </c>
      <c r="AK122" s="85"/>
      <c r="AL122" s="85"/>
      <c r="AM122" s="156">
        <f t="shared" si="73"/>
        <v>1750.1</v>
      </c>
    </row>
    <row r="123" spans="1:39" s="53" customFormat="1" ht="56.25">
      <c r="A123" s="64"/>
      <c r="B123" s="64"/>
      <c r="C123" s="65">
        <v>5</v>
      </c>
      <c r="D123" s="69" t="s">
        <v>550</v>
      </c>
      <c r="E123" s="67" t="s">
        <v>549</v>
      </c>
      <c r="F123" s="118">
        <v>18680</v>
      </c>
      <c r="G123" s="118"/>
      <c r="H123" s="109">
        <f t="shared" si="66"/>
        <v>18680</v>
      </c>
      <c r="I123" s="109"/>
      <c r="J123" s="109"/>
      <c r="K123" s="109">
        <f t="shared" si="67"/>
        <v>18680</v>
      </c>
      <c r="L123" s="109"/>
      <c r="M123" s="109"/>
      <c r="N123" s="109">
        <f t="shared" si="68"/>
        <v>18680</v>
      </c>
      <c r="O123" s="128"/>
      <c r="P123" s="109"/>
      <c r="Q123" s="109"/>
      <c r="R123" s="109">
        <f t="shared" si="69"/>
        <v>18680</v>
      </c>
      <c r="S123" s="109"/>
      <c r="T123" s="109"/>
      <c r="U123" s="84">
        <f t="shared" si="70"/>
        <v>18680</v>
      </c>
      <c r="V123" s="84"/>
      <c r="W123" s="84"/>
      <c r="X123" s="84">
        <f t="shared" si="71"/>
        <v>18680</v>
      </c>
      <c r="AI123" s="84"/>
      <c r="AJ123" s="156">
        <f t="shared" si="72"/>
        <v>18680</v>
      </c>
      <c r="AK123" s="84"/>
      <c r="AL123" s="84"/>
      <c r="AM123" s="156">
        <f t="shared" si="73"/>
        <v>18680</v>
      </c>
    </row>
    <row r="124" spans="1:39" s="53" customFormat="1" ht="37.5">
      <c r="A124" s="64"/>
      <c r="B124" s="64"/>
      <c r="C124" s="65">
        <v>8</v>
      </c>
      <c r="D124" s="69" t="s">
        <v>419</v>
      </c>
      <c r="E124" s="67" t="s">
        <v>296</v>
      </c>
      <c r="F124" s="118"/>
      <c r="G124" s="118"/>
      <c r="H124" s="109">
        <f t="shared" si="66"/>
        <v>0</v>
      </c>
      <c r="I124" s="109"/>
      <c r="J124" s="109"/>
      <c r="K124" s="109">
        <f>I124+J124</f>
        <v>0</v>
      </c>
      <c r="L124" s="109">
        <v>360</v>
      </c>
      <c r="M124" s="109"/>
      <c r="N124" s="109">
        <f>L124+M124</f>
        <v>360</v>
      </c>
      <c r="O124" s="128"/>
      <c r="P124" s="109"/>
      <c r="Q124" s="109"/>
      <c r="R124" s="109">
        <f t="shared" si="69"/>
        <v>360</v>
      </c>
      <c r="S124" s="109"/>
      <c r="T124" s="109"/>
      <c r="U124" s="84">
        <f t="shared" si="70"/>
        <v>360</v>
      </c>
      <c r="V124" s="84"/>
      <c r="W124" s="84"/>
      <c r="X124" s="84">
        <f t="shared" si="71"/>
        <v>360</v>
      </c>
      <c r="AI124" s="84"/>
      <c r="AJ124" s="156">
        <f t="shared" si="72"/>
        <v>360</v>
      </c>
      <c r="AK124" s="84"/>
      <c r="AL124" s="84"/>
      <c r="AM124" s="156">
        <f t="shared" si="73"/>
        <v>360</v>
      </c>
    </row>
    <row r="125" spans="1:39" s="38" customFormat="1" ht="56.25">
      <c r="A125" s="44"/>
      <c r="B125" s="44"/>
      <c r="C125" s="45">
        <v>13</v>
      </c>
      <c r="D125" s="152" t="s">
        <v>532</v>
      </c>
      <c r="E125" s="47" t="s">
        <v>325</v>
      </c>
      <c r="F125" s="118">
        <v>226767</v>
      </c>
      <c r="G125" s="118">
        <f>51800+82991</f>
        <v>134791</v>
      </c>
      <c r="H125" s="109">
        <f t="shared" si="66"/>
        <v>361558</v>
      </c>
      <c r="I125" s="109"/>
      <c r="J125" s="109"/>
      <c r="K125" s="109">
        <f t="shared" si="67"/>
        <v>361558</v>
      </c>
      <c r="L125" s="109">
        <f>6700</f>
        <v>6700</v>
      </c>
      <c r="M125" s="109"/>
      <c r="N125" s="109">
        <f t="shared" si="68"/>
        <v>368258</v>
      </c>
      <c r="O125" s="128"/>
      <c r="P125" s="109"/>
      <c r="Q125" s="109"/>
      <c r="R125" s="109">
        <f t="shared" si="69"/>
        <v>368258</v>
      </c>
      <c r="S125" s="109"/>
      <c r="T125" s="109"/>
      <c r="U125" s="84">
        <f t="shared" si="70"/>
        <v>368258</v>
      </c>
      <c r="V125" s="85">
        <v>458</v>
      </c>
      <c r="W125" s="85"/>
      <c r="X125" s="84">
        <f t="shared" si="71"/>
        <v>368716</v>
      </c>
      <c r="AI125" s="85"/>
      <c r="AJ125" s="156">
        <f t="shared" si="72"/>
        <v>368716</v>
      </c>
      <c r="AK125" s="85"/>
      <c r="AL125" s="85"/>
      <c r="AM125" s="156">
        <f t="shared" si="73"/>
        <v>368716</v>
      </c>
    </row>
    <row r="126" spans="1:39" s="38" customFormat="1" ht="56.25">
      <c r="A126" s="44"/>
      <c r="B126" s="44"/>
      <c r="C126" s="45">
        <v>15</v>
      </c>
      <c r="D126" s="69" t="s">
        <v>104</v>
      </c>
      <c r="E126" s="47" t="s">
        <v>516</v>
      </c>
      <c r="F126" s="118">
        <v>134688</v>
      </c>
      <c r="G126" s="118">
        <f>67526+18871</f>
        <v>86397</v>
      </c>
      <c r="H126" s="109">
        <f t="shared" si="66"/>
        <v>221085</v>
      </c>
      <c r="I126" s="109"/>
      <c r="J126" s="109"/>
      <c r="K126" s="109">
        <f t="shared" si="67"/>
        <v>221085</v>
      </c>
      <c r="L126" s="109">
        <f>4394</f>
        <v>4394</v>
      </c>
      <c r="M126" s="109"/>
      <c r="N126" s="109">
        <f t="shared" si="68"/>
        <v>225479</v>
      </c>
      <c r="O126" s="128"/>
      <c r="P126" s="109"/>
      <c r="Q126" s="109"/>
      <c r="R126" s="109">
        <f t="shared" si="69"/>
        <v>225479</v>
      </c>
      <c r="S126" s="109"/>
      <c r="T126" s="109"/>
      <c r="U126" s="84">
        <f t="shared" si="70"/>
        <v>225479</v>
      </c>
      <c r="V126" s="85">
        <f>237+655</f>
        <v>892</v>
      </c>
      <c r="W126" s="85"/>
      <c r="X126" s="84">
        <f t="shared" si="71"/>
        <v>226371</v>
      </c>
      <c r="AI126" s="85"/>
      <c r="AJ126" s="156">
        <f t="shared" si="72"/>
        <v>226371</v>
      </c>
      <c r="AK126" s="85"/>
      <c r="AL126" s="85"/>
      <c r="AM126" s="156">
        <f t="shared" si="73"/>
        <v>226371</v>
      </c>
    </row>
    <row r="127" spans="1:39" s="38" customFormat="1" ht="56.25">
      <c r="A127" s="44"/>
      <c r="B127" s="44"/>
      <c r="C127" s="45">
        <v>18</v>
      </c>
      <c r="D127" s="69" t="s">
        <v>62</v>
      </c>
      <c r="E127" s="47" t="s">
        <v>61</v>
      </c>
      <c r="F127" s="118"/>
      <c r="G127" s="118">
        <v>34540</v>
      </c>
      <c r="H127" s="109">
        <f t="shared" si="66"/>
        <v>34540</v>
      </c>
      <c r="I127" s="109"/>
      <c r="J127" s="109"/>
      <c r="K127" s="109">
        <f t="shared" si="67"/>
        <v>34540</v>
      </c>
      <c r="L127" s="109"/>
      <c r="M127" s="109"/>
      <c r="N127" s="109">
        <f t="shared" si="68"/>
        <v>34540</v>
      </c>
      <c r="O127" s="128"/>
      <c r="P127" s="109"/>
      <c r="Q127" s="109"/>
      <c r="R127" s="109">
        <f t="shared" si="69"/>
        <v>34540</v>
      </c>
      <c r="S127" s="109"/>
      <c r="T127" s="109"/>
      <c r="U127" s="84">
        <f t="shared" si="70"/>
        <v>34540</v>
      </c>
      <c r="V127" s="85"/>
      <c r="W127" s="85"/>
      <c r="X127" s="84">
        <f t="shared" si="71"/>
        <v>34540</v>
      </c>
      <c r="AI127" s="85"/>
      <c r="AJ127" s="156">
        <f t="shared" si="72"/>
        <v>34540</v>
      </c>
      <c r="AK127" s="85"/>
      <c r="AL127" s="85"/>
      <c r="AM127" s="156">
        <f t="shared" si="73"/>
        <v>34540</v>
      </c>
    </row>
    <row r="128" spans="1:39" s="38" customFormat="1" ht="93.75">
      <c r="A128" s="44"/>
      <c r="B128" s="44"/>
      <c r="C128" s="45">
        <v>20</v>
      </c>
      <c r="D128" s="69" t="s">
        <v>63</v>
      </c>
      <c r="E128" s="47" t="s">
        <v>287</v>
      </c>
      <c r="F128" s="118"/>
      <c r="G128" s="118">
        <v>98564</v>
      </c>
      <c r="H128" s="109">
        <f t="shared" si="66"/>
        <v>98564</v>
      </c>
      <c r="I128" s="109"/>
      <c r="J128" s="109"/>
      <c r="K128" s="109">
        <f t="shared" si="67"/>
        <v>98564</v>
      </c>
      <c r="L128" s="109"/>
      <c r="M128" s="109"/>
      <c r="N128" s="109">
        <f t="shared" si="68"/>
        <v>98564</v>
      </c>
      <c r="O128" s="128"/>
      <c r="P128" s="109"/>
      <c r="Q128" s="109"/>
      <c r="R128" s="109">
        <f t="shared" si="69"/>
        <v>98564</v>
      </c>
      <c r="S128" s="109"/>
      <c r="T128" s="109"/>
      <c r="U128" s="84">
        <f t="shared" si="70"/>
        <v>98564</v>
      </c>
      <c r="V128" s="85"/>
      <c r="W128" s="85"/>
      <c r="X128" s="84">
        <f t="shared" si="71"/>
        <v>98564</v>
      </c>
      <c r="AI128" s="85"/>
      <c r="AJ128" s="156">
        <f t="shared" si="72"/>
        <v>98564</v>
      </c>
      <c r="AK128" s="85"/>
      <c r="AL128" s="85"/>
      <c r="AM128" s="156">
        <f t="shared" si="73"/>
        <v>98564</v>
      </c>
    </row>
    <row r="129" spans="1:39" s="38" customFormat="1" ht="56.25" hidden="1">
      <c r="A129" s="44"/>
      <c r="B129" s="44"/>
      <c r="C129" s="45">
        <v>22</v>
      </c>
      <c r="D129" s="69" t="s">
        <v>65</v>
      </c>
      <c r="E129" s="47" t="s">
        <v>64</v>
      </c>
      <c r="F129" s="118"/>
      <c r="G129" s="118"/>
      <c r="H129" s="109">
        <f t="shared" si="66"/>
        <v>0</v>
      </c>
      <c r="I129" s="109"/>
      <c r="J129" s="109"/>
      <c r="K129" s="109">
        <f t="shared" si="67"/>
        <v>0</v>
      </c>
      <c r="L129" s="109"/>
      <c r="M129" s="109"/>
      <c r="N129" s="109">
        <f t="shared" si="68"/>
        <v>0</v>
      </c>
      <c r="O129" s="128"/>
      <c r="P129" s="109"/>
      <c r="Q129" s="109"/>
      <c r="R129" s="109">
        <f t="shared" si="69"/>
        <v>0</v>
      </c>
      <c r="S129" s="109"/>
      <c r="T129" s="109"/>
      <c r="U129" s="84">
        <f t="shared" si="70"/>
        <v>0</v>
      </c>
      <c r="V129" s="85"/>
      <c r="W129" s="85"/>
      <c r="X129" s="84">
        <f t="shared" si="71"/>
        <v>0</v>
      </c>
      <c r="AI129" s="85"/>
      <c r="AJ129" s="156">
        <f t="shared" si="72"/>
        <v>0</v>
      </c>
      <c r="AK129" s="85"/>
      <c r="AL129" s="85"/>
      <c r="AM129" s="156">
        <f t="shared" si="73"/>
        <v>0</v>
      </c>
    </row>
    <row r="130" spans="1:39" s="38" customFormat="1" ht="56.25" hidden="1">
      <c r="A130" s="44"/>
      <c r="B130" s="44"/>
      <c r="C130" s="45">
        <v>26</v>
      </c>
      <c r="D130" s="69" t="s">
        <v>67</v>
      </c>
      <c r="E130" s="69" t="s">
        <v>66</v>
      </c>
      <c r="F130" s="118"/>
      <c r="G130" s="118"/>
      <c r="H130" s="109">
        <f>F130+G130</f>
        <v>0</v>
      </c>
      <c r="I130" s="109"/>
      <c r="J130" s="109"/>
      <c r="K130" s="109">
        <f>H130+I130+J130</f>
        <v>0</v>
      </c>
      <c r="L130" s="109"/>
      <c r="M130" s="109"/>
      <c r="N130" s="109">
        <f>K130+L130+M130</f>
        <v>0</v>
      </c>
      <c r="O130" s="128"/>
      <c r="P130" s="109"/>
      <c r="Q130" s="109"/>
      <c r="R130" s="109">
        <f t="shared" si="69"/>
        <v>0</v>
      </c>
      <c r="S130" s="109"/>
      <c r="T130" s="109"/>
      <c r="U130" s="84">
        <f t="shared" si="70"/>
        <v>0</v>
      </c>
      <c r="V130" s="85"/>
      <c r="W130" s="85"/>
      <c r="X130" s="84">
        <f t="shared" si="71"/>
        <v>0</v>
      </c>
      <c r="AI130" s="85"/>
      <c r="AJ130" s="156">
        <f t="shared" si="72"/>
        <v>0</v>
      </c>
      <c r="AK130" s="85"/>
      <c r="AL130" s="85"/>
      <c r="AM130" s="156">
        <f t="shared" si="73"/>
        <v>0</v>
      </c>
    </row>
    <row r="131" spans="1:39" s="53" customFormat="1" ht="56.25">
      <c r="A131" s="64"/>
      <c r="B131" s="64"/>
      <c r="C131" s="65">
        <v>27</v>
      </c>
      <c r="D131" s="69" t="s">
        <v>70</v>
      </c>
      <c r="E131" s="69" t="s">
        <v>69</v>
      </c>
      <c r="F131" s="118"/>
      <c r="G131" s="118">
        <v>108000</v>
      </c>
      <c r="H131" s="109">
        <f>F131+G131</f>
        <v>108000</v>
      </c>
      <c r="I131" s="109"/>
      <c r="J131" s="109"/>
      <c r="K131" s="109">
        <f>H131+I131+J131</f>
        <v>108000</v>
      </c>
      <c r="L131" s="109"/>
      <c r="M131" s="109"/>
      <c r="N131" s="109">
        <f>K131+L131+M131</f>
        <v>108000</v>
      </c>
      <c r="O131" s="128"/>
      <c r="P131" s="109"/>
      <c r="Q131" s="109"/>
      <c r="R131" s="109">
        <f t="shared" si="69"/>
        <v>108000</v>
      </c>
      <c r="S131" s="109"/>
      <c r="T131" s="109"/>
      <c r="U131" s="84">
        <f t="shared" si="70"/>
        <v>108000</v>
      </c>
      <c r="V131" s="84"/>
      <c r="W131" s="84"/>
      <c r="X131" s="84">
        <f t="shared" si="71"/>
        <v>108000</v>
      </c>
      <c r="AI131" s="84"/>
      <c r="AJ131" s="156">
        <f t="shared" si="72"/>
        <v>108000</v>
      </c>
      <c r="AK131" s="84"/>
      <c r="AL131" s="84"/>
      <c r="AM131" s="156">
        <f t="shared" si="73"/>
        <v>108000</v>
      </c>
    </row>
    <row r="132" spans="1:39" s="53" customFormat="1" ht="176.25" customHeight="1">
      <c r="A132" s="64"/>
      <c r="B132" s="64"/>
      <c r="C132" s="65">
        <v>29</v>
      </c>
      <c r="D132" s="67" t="s">
        <v>135</v>
      </c>
      <c r="E132" s="67" t="s">
        <v>111</v>
      </c>
      <c r="F132" s="154"/>
      <c r="G132" s="154">
        <v>13702</v>
      </c>
      <c r="H132" s="84">
        <f t="shared" si="66"/>
        <v>13702</v>
      </c>
      <c r="I132" s="84"/>
      <c r="J132" s="84"/>
      <c r="K132" s="84">
        <f t="shared" si="67"/>
        <v>13702</v>
      </c>
      <c r="L132" s="84"/>
      <c r="M132" s="84"/>
      <c r="N132" s="84">
        <f t="shared" si="68"/>
        <v>13702</v>
      </c>
      <c r="P132" s="84"/>
      <c r="Q132" s="84"/>
      <c r="R132" s="84">
        <f t="shared" si="69"/>
        <v>13702</v>
      </c>
      <c r="S132" s="84"/>
      <c r="T132" s="84"/>
      <c r="U132" s="84">
        <f t="shared" si="70"/>
        <v>13702</v>
      </c>
      <c r="V132" s="84"/>
      <c r="W132" s="84"/>
      <c r="X132" s="84">
        <f t="shared" si="71"/>
        <v>13702</v>
      </c>
      <c r="AI132" s="84"/>
      <c r="AJ132" s="159">
        <f t="shared" si="72"/>
        <v>13702</v>
      </c>
      <c r="AK132" s="84"/>
      <c r="AL132" s="84"/>
      <c r="AM132" s="160">
        <f t="shared" si="73"/>
        <v>13702</v>
      </c>
    </row>
    <row r="133" spans="1:39" s="53" customFormat="1" ht="251.25" customHeight="1">
      <c r="A133" s="64"/>
      <c r="B133" s="64"/>
      <c r="C133" s="65">
        <v>31</v>
      </c>
      <c r="D133" s="67" t="s">
        <v>136</v>
      </c>
      <c r="E133" s="67" t="s">
        <v>112</v>
      </c>
      <c r="F133" s="118"/>
      <c r="G133" s="118">
        <v>344345</v>
      </c>
      <c r="H133" s="109">
        <f t="shared" si="66"/>
        <v>344345</v>
      </c>
      <c r="I133" s="109"/>
      <c r="J133" s="109"/>
      <c r="K133" s="109">
        <f t="shared" si="67"/>
        <v>344345</v>
      </c>
      <c r="L133" s="109"/>
      <c r="M133" s="109">
        <f>-119793</f>
        <v>-119793</v>
      </c>
      <c r="N133" s="109">
        <f t="shared" si="68"/>
        <v>224552</v>
      </c>
      <c r="O133" s="128"/>
      <c r="P133" s="109"/>
      <c r="Q133" s="109"/>
      <c r="R133" s="109">
        <f t="shared" si="69"/>
        <v>224552</v>
      </c>
      <c r="S133" s="109"/>
      <c r="T133" s="109"/>
      <c r="U133" s="84">
        <f t="shared" si="70"/>
        <v>224552</v>
      </c>
      <c r="V133" s="84"/>
      <c r="W133" s="84"/>
      <c r="X133" s="84">
        <f t="shared" si="71"/>
        <v>224552</v>
      </c>
      <c r="AI133" s="84"/>
      <c r="AJ133" s="156">
        <f t="shared" si="72"/>
        <v>224552</v>
      </c>
      <c r="AK133" s="84"/>
      <c r="AL133" s="84"/>
      <c r="AM133" s="157">
        <f t="shared" si="73"/>
        <v>224552</v>
      </c>
    </row>
    <row r="134" spans="1:39" s="53" customFormat="1" ht="225">
      <c r="A134" s="64"/>
      <c r="B134" s="64"/>
      <c r="C134" s="65">
        <v>32</v>
      </c>
      <c r="D134" s="67" t="s">
        <v>137</v>
      </c>
      <c r="E134" s="67" t="s">
        <v>115</v>
      </c>
      <c r="F134" s="118"/>
      <c r="G134" s="118"/>
      <c r="H134" s="109"/>
      <c r="I134" s="109"/>
      <c r="J134" s="109"/>
      <c r="K134" s="109">
        <v>153072</v>
      </c>
      <c r="L134" s="109"/>
      <c r="M134" s="109"/>
      <c r="N134" s="109">
        <f t="shared" si="68"/>
        <v>153072</v>
      </c>
      <c r="O134" s="128"/>
      <c r="P134" s="109"/>
      <c r="Q134" s="109"/>
      <c r="R134" s="109">
        <f t="shared" si="69"/>
        <v>153072</v>
      </c>
      <c r="S134" s="109"/>
      <c r="T134" s="109"/>
      <c r="U134" s="84">
        <f t="shared" si="70"/>
        <v>153072</v>
      </c>
      <c r="V134" s="84">
        <v>1570</v>
      </c>
      <c r="W134" s="84"/>
      <c r="X134" s="84">
        <f t="shared" si="71"/>
        <v>154642</v>
      </c>
      <c r="AI134" s="84"/>
      <c r="AJ134" s="156">
        <f t="shared" si="72"/>
        <v>154642</v>
      </c>
      <c r="AK134" s="84"/>
      <c r="AL134" s="84"/>
      <c r="AM134" s="156">
        <f t="shared" si="73"/>
        <v>154642</v>
      </c>
    </row>
    <row r="135" spans="1:39" s="38" customFormat="1" ht="18.75">
      <c r="A135" s="44"/>
      <c r="B135" s="44"/>
      <c r="C135" s="45">
        <v>113</v>
      </c>
      <c r="D135" s="69" t="s">
        <v>204</v>
      </c>
      <c r="E135" s="47" t="s">
        <v>310</v>
      </c>
      <c r="F135" s="118">
        <v>203775</v>
      </c>
      <c r="G135" s="118"/>
      <c r="H135" s="109">
        <f>F135+G135</f>
        <v>203775</v>
      </c>
      <c r="I135" s="109"/>
      <c r="J135" s="109"/>
      <c r="K135" s="109">
        <f>203775-153072</f>
        <v>50703</v>
      </c>
      <c r="L135" s="109"/>
      <c r="M135" s="109"/>
      <c r="N135" s="109">
        <f>K135+L135+M135</f>
        <v>50703</v>
      </c>
      <c r="O135" s="128"/>
      <c r="P135" s="109"/>
      <c r="Q135" s="109"/>
      <c r="R135" s="109">
        <f t="shared" si="69"/>
        <v>50703</v>
      </c>
      <c r="S135" s="109"/>
      <c r="T135" s="109"/>
      <c r="U135" s="84">
        <f t="shared" si="70"/>
        <v>50703</v>
      </c>
      <c r="V135" s="85">
        <f>7341+750</f>
        <v>8091</v>
      </c>
      <c r="W135" s="85"/>
      <c r="X135" s="84">
        <f t="shared" si="71"/>
        <v>58794</v>
      </c>
      <c r="AI135" s="85"/>
      <c r="AJ135" s="156">
        <f t="shared" si="72"/>
        <v>58794</v>
      </c>
      <c r="AK135" s="85"/>
      <c r="AL135" s="85"/>
      <c r="AM135" s="156">
        <f t="shared" si="73"/>
        <v>58794</v>
      </c>
    </row>
    <row r="136" spans="1:39" s="38" customFormat="1" ht="18.75">
      <c r="A136" s="39"/>
      <c r="B136" s="39">
        <v>261</v>
      </c>
      <c r="C136" s="40"/>
      <c r="D136" s="40" t="s">
        <v>389</v>
      </c>
      <c r="E136" s="42" t="s">
        <v>567</v>
      </c>
      <c r="F136" s="116">
        <f aca="true" t="shared" si="74" ref="F136:X136">F137</f>
        <v>1197979</v>
      </c>
      <c r="G136" s="116">
        <f t="shared" si="74"/>
        <v>17832</v>
      </c>
      <c r="H136" s="117">
        <f t="shared" si="74"/>
        <v>1215811</v>
      </c>
      <c r="I136" s="117">
        <f t="shared" si="74"/>
        <v>0</v>
      </c>
      <c r="J136" s="117">
        <f t="shared" si="74"/>
        <v>0</v>
      </c>
      <c r="K136" s="117">
        <f t="shared" si="74"/>
        <v>1215811</v>
      </c>
      <c r="L136" s="117">
        <f t="shared" si="74"/>
        <v>16296</v>
      </c>
      <c r="M136" s="117">
        <f t="shared" si="74"/>
        <v>-10000</v>
      </c>
      <c r="N136" s="117">
        <f t="shared" si="74"/>
        <v>1222107</v>
      </c>
      <c r="O136" s="128"/>
      <c r="P136" s="117">
        <f t="shared" si="74"/>
        <v>0</v>
      </c>
      <c r="Q136" s="117">
        <f t="shared" si="74"/>
        <v>0</v>
      </c>
      <c r="R136" s="117">
        <f t="shared" si="74"/>
        <v>1222107</v>
      </c>
      <c r="S136" s="117">
        <f t="shared" si="74"/>
        <v>0</v>
      </c>
      <c r="T136" s="117">
        <f t="shared" si="74"/>
        <v>0</v>
      </c>
      <c r="U136" s="83">
        <f t="shared" si="74"/>
        <v>1222107</v>
      </c>
      <c r="V136" s="83">
        <f t="shared" si="74"/>
        <v>0</v>
      </c>
      <c r="W136" s="83">
        <f t="shared" si="74"/>
        <v>-55482</v>
      </c>
      <c r="X136" s="83">
        <f t="shared" si="74"/>
        <v>1166625</v>
      </c>
      <c r="AI136" s="83">
        <f>AI137</f>
        <v>0</v>
      </c>
      <c r="AJ136" s="83">
        <f>AJ137</f>
        <v>1166625</v>
      </c>
      <c r="AK136" s="83">
        <f>AK137</f>
        <v>0</v>
      </c>
      <c r="AL136" s="83">
        <f>AL137</f>
        <v>0</v>
      </c>
      <c r="AM136" s="83">
        <f>AM137</f>
        <v>1166625</v>
      </c>
    </row>
    <row r="137" spans="1:39" s="38" customFormat="1" ht="37.5">
      <c r="A137" s="44"/>
      <c r="B137" s="44"/>
      <c r="C137" s="45">
        <v>15</v>
      </c>
      <c r="D137" s="152" t="s">
        <v>533</v>
      </c>
      <c r="E137" s="47" t="s">
        <v>591</v>
      </c>
      <c r="F137" s="118">
        <v>1197979</v>
      </c>
      <c r="G137" s="118">
        <v>17832</v>
      </c>
      <c r="H137" s="109">
        <f>F137+G137</f>
        <v>1215811</v>
      </c>
      <c r="I137" s="109"/>
      <c r="J137" s="109"/>
      <c r="K137" s="109">
        <f>H137+I137+J137</f>
        <v>1215811</v>
      </c>
      <c r="L137" s="109">
        <f>18296-2000</f>
        <v>16296</v>
      </c>
      <c r="M137" s="109">
        <f>-10000</f>
        <v>-10000</v>
      </c>
      <c r="N137" s="109">
        <f>K137+L137+M137</f>
        <v>1222107</v>
      </c>
      <c r="O137" s="128"/>
      <c r="P137" s="109"/>
      <c r="Q137" s="109"/>
      <c r="R137" s="109">
        <f t="shared" si="69"/>
        <v>1222107</v>
      </c>
      <c r="S137" s="109"/>
      <c r="T137" s="109"/>
      <c r="U137" s="84">
        <f t="shared" si="70"/>
        <v>1222107</v>
      </c>
      <c r="V137" s="85"/>
      <c r="W137" s="85">
        <f>-4600-50882</f>
        <v>-55482</v>
      </c>
      <c r="X137" s="84">
        <f t="shared" si="71"/>
        <v>1166625</v>
      </c>
      <c r="AI137" s="85"/>
      <c r="AJ137" s="156">
        <f t="shared" si="72"/>
        <v>1166625</v>
      </c>
      <c r="AK137" s="85"/>
      <c r="AL137" s="85"/>
      <c r="AM137" s="156">
        <f t="shared" si="73"/>
        <v>1166625</v>
      </c>
    </row>
    <row r="138" spans="1:39" s="38" customFormat="1" ht="18.75">
      <c r="A138" s="39"/>
      <c r="B138" s="39">
        <v>271</v>
      </c>
      <c r="C138" s="40"/>
      <c r="D138" s="40" t="s">
        <v>401</v>
      </c>
      <c r="E138" s="42" t="s">
        <v>560</v>
      </c>
      <c r="F138" s="116">
        <f aca="true" t="shared" si="75" ref="F138:X138">F139</f>
        <v>76352</v>
      </c>
      <c r="G138" s="116">
        <f t="shared" si="75"/>
        <v>0</v>
      </c>
      <c r="H138" s="117">
        <f t="shared" si="75"/>
        <v>76352</v>
      </c>
      <c r="I138" s="117">
        <f t="shared" si="75"/>
        <v>0</v>
      </c>
      <c r="J138" s="117">
        <f t="shared" si="75"/>
        <v>0</v>
      </c>
      <c r="K138" s="117">
        <f t="shared" si="75"/>
        <v>76352</v>
      </c>
      <c r="L138" s="117">
        <f t="shared" si="75"/>
        <v>0</v>
      </c>
      <c r="M138" s="117">
        <f t="shared" si="75"/>
        <v>0</v>
      </c>
      <c r="N138" s="117">
        <f t="shared" si="75"/>
        <v>76352</v>
      </c>
      <c r="O138" s="128"/>
      <c r="P138" s="117">
        <f t="shared" si="75"/>
        <v>0</v>
      </c>
      <c r="Q138" s="117">
        <f t="shared" si="75"/>
        <v>0</v>
      </c>
      <c r="R138" s="117">
        <f t="shared" si="75"/>
        <v>76352</v>
      </c>
      <c r="S138" s="117">
        <f t="shared" si="75"/>
        <v>0</v>
      </c>
      <c r="T138" s="117">
        <f t="shared" si="75"/>
        <v>0</v>
      </c>
      <c r="U138" s="83">
        <f t="shared" si="75"/>
        <v>76352</v>
      </c>
      <c r="V138" s="83">
        <f t="shared" si="75"/>
        <v>0</v>
      </c>
      <c r="W138" s="83">
        <f t="shared" si="75"/>
        <v>-1823</v>
      </c>
      <c r="X138" s="83">
        <f t="shared" si="75"/>
        <v>74529</v>
      </c>
      <c r="AI138" s="83">
        <f>AI139</f>
        <v>0</v>
      </c>
      <c r="AJ138" s="83">
        <f>AJ139</f>
        <v>74529</v>
      </c>
      <c r="AK138" s="83">
        <f>AK139</f>
        <v>0</v>
      </c>
      <c r="AL138" s="83">
        <f>AL139</f>
        <v>0</v>
      </c>
      <c r="AM138" s="158">
        <f>AM139</f>
        <v>74529</v>
      </c>
    </row>
    <row r="139" spans="1:39" s="38" customFormat="1" ht="18.75">
      <c r="A139" s="44"/>
      <c r="B139" s="44"/>
      <c r="C139" s="45">
        <v>39</v>
      </c>
      <c r="D139" s="152" t="s">
        <v>534</v>
      </c>
      <c r="E139" s="47" t="s">
        <v>592</v>
      </c>
      <c r="F139" s="118">
        <v>76352</v>
      </c>
      <c r="G139" s="118"/>
      <c r="H139" s="109">
        <f>F139+G139</f>
        <v>76352</v>
      </c>
      <c r="I139" s="109"/>
      <c r="J139" s="109"/>
      <c r="K139" s="109">
        <f>H139+I139+J139</f>
        <v>76352</v>
      </c>
      <c r="L139" s="109"/>
      <c r="M139" s="109"/>
      <c r="N139" s="109">
        <f>K139+L139+M139</f>
        <v>76352</v>
      </c>
      <c r="O139" s="128"/>
      <c r="P139" s="109"/>
      <c r="Q139" s="109"/>
      <c r="R139" s="109">
        <f t="shared" si="69"/>
        <v>76352</v>
      </c>
      <c r="S139" s="109"/>
      <c r="T139" s="109"/>
      <c r="U139" s="84">
        <f t="shared" si="70"/>
        <v>76352</v>
      </c>
      <c r="V139" s="85"/>
      <c r="W139" s="85">
        <f>-729-1094</f>
        <v>-1823</v>
      </c>
      <c r="X139" s="84">
        <f t="shared" si="71"/>
        <v>74529</v>
      </c>
      <c r="AI139" s="85"/>
      <c r="AJ139" s="156">
        <f t="shared" si="72"/>
        <v>74529</v>
      </c>
      <c r="AK139" s="85"/>
      <c r="AL139" s="85"/>
      <c r="AM139" s="157">
        <f t="shared" si="73"/>
        <v>74529</v>
      </c>
    </row>
    <row r="140" spans="1:39" s="38" customFormat="1" ht="18.75">
      <c r="A140" s="34">
        <v>7</v>
      </c>
      <c r="B140" s="34"/>
      <c r="C140" s="35"/>
      <c r="D140" s="35" t="s">
        <v>422</v>
      </c>
      <c r="E140" s="37" t="s">
        <v>593</v>
      </c>
      <c r="F140" s="116">
        <f aca="true" t="shared" si="76" ref="F140:K140">F144+F141</f>
        <v>459548</v>
      </c>
      <c r="G140" s="116">
        <f t="shared" si="76"/>
        <v>12147400</v>
      </c>
      <c r="H140" s="117">
        <f t="shared" si="76"/>
        <v>12606948</v>
      </c>
      <c r="I140" s="117">
        <f t="shared" si="76"/>
        <v>98850</v>
      </c>
      <c r="J140" s="117">
        <f t="shared" si="76"/>
        <v>0</v>
      </c>
      <c r="K140" s="117">
        <f t="shared" si="76"/>
        <v>12705798</v>
      </c>
      <c r="L140" s="117">
        <f>L144+L141</f>
        <v>73324.1</v>
      </c>
      <c r="M140" s="117">
        <f>M144+M141</f>
        <v>0</v>
      </c>
      <c r="N140" s="117">
        <f>N144+N141</f>
        <v>12779122.1</v>
      </c>
      <c r="O140" s="128"/>
      <c r="P140" s="117">
        <f aca="true" t="shared" si="77" ref="P140:U140">P144+P141</f>
        <v>0</v>
      </c>
      <c r="Q140" s="117">
        <f t="shared" si="77"/>
        <v>0</v>
      </c>
      <c r="R140" s="117">
        <f t="shared" si="77"/>
        <v>12779122.1</v>
      </c>
      <c r="S140" s="117">
        <f t="shared" si="77"/>
        <v>0</v>
      </c>
      <c r="T140" s="117">
        <f t="shared" si="77"/>
        <v>0</v>
      </c>
      <c r="U140" s="82">
        <f t="shared" si="77"/>
        <v>12779122.1</v>
      </c>
      <c r="V140" s="82">
        <f>V144+V141</f>
        <v>212735</v>
      </c>
      <c r="W140" s="82">
        <f>W144+W141</f>
        <v>-245871</v>
      </c>
      <c r="X140" s="82">
        <f>X144+X141</f>
        <v>12745986.1</v>
      </c>
      <c r="AI140" s="82">
        <f>AI144+AI141</f>
        <v>0</v>
      </c>
      <c r="AJ140" s="82">
        <f>AJ144+AJ141</f>
        <v>12745986.1</v>
      </c>
      <c r="AK140" s="82">
        <f>AK144+AK141</f>
        <v>220747</v>
      </c>
      <c r="AL140" s="82">
        <f>AL144+AL141</f>
        <v>-45064</v>
      </c>
      <c r="AM140" s="82">
        <f>AM144+AM141</f>
        <v>12921669.1</v>
      </c>
    </row>
    <row r="141" spans="1:39" s="53" customFormat="1" ht="18.75">
      <c r="A141" s="39"/>
      <c r="B141" s="39">
        <v>271</v>
      </c>
      <c r="C141" s="40"/>
      <c r="D141" s="153" t="s">
        <v>401</v>
      </c>
      <c r="E141" s="42" t="s">
        <v>560</v>
      </c>
      <c r="F141" s="116">
        <f aca="true" t="shared" si="78" ref="F141:K141">F142+F143</f>
        <v>0</v>
      </c>
      <c r="G141" s="116">
        <f t="shared" si="78"/>
        <v>4420700</v>
      </c>
      <c r="H141" s="117">
        <f t="shared" si="78"/>
        <v>4420700</v>
      </c>
      <c r="I141" s="117">
        <f t="shared" si="78"/>
        <v>0</v>
      </c>
      <c r="J141" s="117">
        <f t="shared" si="78"/>
        <v>0</v>
      </c>
      <c r="K141" s="117">
        <f t="shared" si="78"/>
        <v>4420700</v>
      </c>
      <c r="L141" s="117">
        <f>L142+L143</f>
        <v>0</v>
      </c>
      <c r="M141" s="117">
        <f>M142+M143</f>
        <v>0</v>
      </c>
      <c r="N141" s="117">
        <f>N142+N143</f>
        <v>4420700</v>
      </c>
      <c r="O141" s="128"/>
      <c r="P141" s="117">
        <f aca="true" t="shared" si="79" ref="P141:U141">P142+P143</f>
        <v>0</v>
      </c>
      <c r="Q141" s="117">
        <f t="shared" si="79"/>
        <v>0</v>
      </c>
      <c r="R141" s="117">
        <f t="shared" si="79"/>
        <v>4420700</v>
      </c>
      <c r="S141" s="117">
        <f t="shared" si="79"/>
        <v>0</v>
      </c>
      <c r="T141" s="117">
        <f t="shared" si="79"/>
        <v>0</v>
      </c>
      <c r="U141" s="83">
        <f t="shared" si="79"/>
        <v>4420700</v>
      </c>
      <c r="V141" s="83">
        <f>V142+V143</f>
        <v>0</v>
      </c>
      <c r="W141" s="83">
        <f>W142+W143</f>
        <v>-163700</v>
      </c>
      <c r="X141" s="83">
        <f>X142+X143</f>
        <v>4257000</v>
      </c>
      <c r="AI141" s="83">
        <f>AI142+AI143</f>
        <v>0</v>
      </c>
      <c r="AJ141" s="83">
        <f>AJ142+AJ143</f>
        <v>4257000</v>
      </c>
      <c r="AK141" s="83">
        <f>AK142+AK143</f>
        <v>0</v>
      </c>
      <c r="AL141" s="83">
        <f>AL142+AL143</f>
        <v>0</v>
      </c>
      <c r="AM141" s="83">
        <f>AM142+AM143</f>
        <v>4257000</v>
      </c>
    </row>
    <row r="142" spans="1:39" s="53" customFormat="1" ht="75">
      <c r="A142" s="64"/>
      <c r="B142" s="64"/>
      <c r="C142" s="65">
        <v>14</v>
      </c>
      <c r="D142" s="67" t="s">
        <v>138</v>
      </c>
      <c r="E142" s="67" t="s">
        <v>120</v>
      </c>
      <c r="F142" s="118"/>
      <c r="G142" s="118">
        <v>586000</v>
      </c>
      <c r="H142" s="109">
        <f>F142+G142</f>
        <v>586000</v>
      </c>
      <c r="I142" s="109"/>
      <c r="J142" s="109"/>
      <c r="K142" s="109">
        <f>H142+I142+J142</f>
        <v>586000</v>
      </c>
      <c r="L142" s="109"/>
      <c r="M142" s="109"/>
      <c r="N142" s="109">
        <f>K142+L142+M142</f>
        <v>586000</v>
      </c>
      <c r="O142" s="128"/>
      <c r="P142" s="109"/>
      <c r="Q142" s="109"/>
      <c r="R142" s="109">
        <f aca="true" t="shared" si="80" ref="R142:R153">N142+P142+Q142</f>
        <v>586000</v>
      </c>
      <c r="S142" s="109"/>
      <c r="T142" s="109"/>
      <c r="U142" s="84">
        <f aca="true" t="shared" si="81" ref="U142:U153">Q142+R142</f>
        <v>586000</v>
      </c>
      <c r="V142" s="84"/>
      <c r="W142" s="84"/>
      <c r="X142" s="84">
        <f aca="true" t="shared" si="82" ref="X142:X153">U142+V142+W142</f>
        <v>586000</v>
      </c>
      <c r="AI142" s="84"/>
      <c r="AJ142" s="156">
        <f aca="true" t="shared" si="83" ref="AJ142:AJ154">X142+AI142</f>
        <v>586000</v>
      </c>
      <c r="AK142" s="84"/>
      <c r="AL142" s="84"/>
      <c r="AM142" s="156">
        <f>AJ142+AK142+AL142</f>
        <v>586000</v>
      </c>
    </row>
    <row r="143" spans="1:39" s="53" customFormat="1" ht="75">
      <c r="A143" s="64"/>
      <c r="B143" s="64"/>
      <c r="C143" s="65">
        <v>27</v>
      </c>
      <c r="D143" s="67" t="s">
        <v>139</v>
      </c>
      <c r="E143" s="67" t="s">
        <v>121</v>
      </c>
      <c r="F143" s="118"/>
      <c r="G143" s="118">
        <v>3834700</v>
      </c>
      <c r="H143" s="109">
        <f>F143+G143</f>
        <v>3834700</v>
      </c>
      <c r="I143" s="109"/>
      <c r="J143" s="109"/>
      <c r="K143" s="109">
        <f>H143+I143+J143</f>
        <v>3834700</v>
      </c>
      <c r="L143" s="109"/>
      <c r="M143" s="109"/>
      <c r="N143" s="109">
        <f>K143+L143+M143</f>
        <v>3834700</v>
      </c>
      <c r="O143" s="128"/>
      <c r="P143" s="109"/>
      <c r="Q143" s="109"/>
      <c r="R143" s="109">
        <f t="shared" si="80"/>
        <v>3834700</v>
      </c>
      <c r="S143" s="109"/>
      <c r="T143" s="109"/>
      <c r="U143" s="84">
        <f t="shared" si="81"/>
        <v>3834700</v>
      </c>
      <c r="V143" s="84"/>
      <c r="W143" s="84">
        <f>-163700</f>
        <v>-163700</v>
      </c>
      <c r="X143" s="84">
        <f t="shared" si="82"/>
        <v>3671000</v>
      </c>
      <c r="AI143" s="84"/>
      <c r="AJ143" s="156">
        <f t="shared" si="83"/>
        <v>3671000</v>
      </c>
      <c r="AK143" s="84"/>
      <c r="AL143" s="84"/>
      <c r="AM143" s="156">
        <f>AJ143+AK143+AL143</f>
        <v>3671000</v>
      </c>
    </row>
    <row r="144" spans="1:39" s="38" customFormat="1" ht="37.5">
      <c r="A144" s="39"/>
      <c r="B144" s="39">
        <v>279</v>
      </c>
      <c r="C144" s="40"/>
      <c r="D144" s="153" t="s">
        <v>423</v>
      </c>
      <c r="E144" s="42" t="s">
        <v>594</v>
      </c>
      <c r="F144" s="116">
        <f aca="true" t="shared" si="84" ref="F144:N144">SUM(F145:F154)</f>
        <v>459548</v>
      </c>
      <c r="G144" s="116">
        <f t="shared" si="84"/>
        <v>7726700</v>
      </c>
      <c r="H144" s="117">
        <f t="shared" si="84"/>
        <v>8186248</v>
      </c>
      <c r="I144" s="117">
        <f t="shared" si="84"/>
        <v>98850</v>
      </c>
      <c r="J144" s="117">
        <f t="shared" si="84"/>
        <v>0</v>
      </c>
      <c r="K144" s="117">
        <f t="shared" si="84"/>
        <v>8285098</v>
      </c>
      <c r="L144" s="117">
        <f t="shared" si="84"/>
        <v>73324.1</v>
      </c>
      <c r="M144" s="117">
        <f t="shared" si="84"/>
        <v>0</v>
      </c>
      <c r="N144" s="117">
        <f t="shared" si="84"/>
        <v>8358422.1</v>
      </c>
      <c r="O144" s="128"/>
      <c r="P144" s="117">
        <f aca="true" t="shared" si="85" ref="P144:X144">SUM(P145:P154)</f>
        <v>0</v>
      </c>
      <c r="Q144" s="117">
        <f t="shared" si="85"/>
        <v>0</v>
      </c>
      <c r="R144" s="117">
        <f t="shared" si="85"/>
        <v>8358422.1</v>
      </c>
      <c r="S144" s="117">
        <f t="shared" si="85"/>
        <v>0</v>
      </c>
      <c r="T144" s="117">
        <f t="shared" si="85"/>
        <v>0</v>
      </c>
      <c r="U144" s="83">
        <f t="shared" si="85"/>
        <v>8358422.1</v>
      </c>
      <c r="V144" s="83">
        <f t="shared" si="85"/>
        <v>212735</v>
      </c>
      <c r="W144" s="83">
        <f t="shared" si="85"/>
        <v>-82171</v>
      </c>
      <c r="X144" s="83">
        <f t="shared" si="85"/>
        <v>8488986.1</v>
      </c>
      <c r="AI144" s="83">
        <f>SUM(AI145:AI154)</f>
        <v>0</v>
      </c>
      <c r="AJ144" s="83">
        <f>SUM(AJ145:AJ154)</f>
        <v>8488986.1</v>
      </c>
      <c r="AK144" s="83">
        <f>SUM(AK145:AK154)</f>
        <v>220747</v>
      </c>
      <c r="AL144" s="83">
        <f>SUM(AL145:AL154)</f>
        <v>-45064</v>
      </c>
      <c r="AM144" s="83">
        <f>SUM(AM145:AM154)</f>
        <v>8664669.1</v>
      </c>
    </row>
    <row r="145" spans="1:39" s="38" customFormat="1" ht="37.5">
      <c r="A145" s="44"/>
      <c r="B145" s="44"/>
      <c r="C145" s="45">
        <v>1</v>
      </c>
      <c r="D145" s="152" t="s">
        <v>424</v>
      </c>
      <c r="E145" s="47" t="s">
        <v>326</v>
      </c>
      <c r="F145" s="118">
        <v>29330</v>
      </c>
      <c r="G145" s="118"/>
      <c r="H145" s="109">
        <f aca="true" t="shared" si="86" ref="H145:H154">F145+G145</f>
        <v>29330</v>
      </c>
      <c r="I145" s="109"/>
      <c r="J145" s="109"/>
      <c r="K145" s="109">
        <f aca="true" t="shared" si="87" ref="K145:K154">H145+I145+J145</f>
        <v>29330</v>
      </c>
      <c r="L145" s="109">
        <f>46</f>
        <v>46</v>
      </c>
      <c r="M145" s="109"/>
      <c r="N145" s="109">
        <f aca="true" t="shared" si="88" ref="N145:N154">K145+L145+M145</f>
        <v>29376</v>
      </c>
      <c r="O145" s="128"/>
      <c r="P145" s="109"/>
      <c r="Q145" s="109"/>
      <c r="R145" s="109">
        <f t="shared" si="80"/>
        <v>29376</v>
      </c>
      <c r="S145" s="109"/>
      <c r="T145" s="109"/>
      <c r="U145" s="84">
        <f t="shared" si="81"/>
        <v>29376</v>
      </c>
      <c r="V145" s="85"/>
      <c r="W145" s="85"/>
      <c r="X145" s="84">
        <f t="shared" si="82"/>
        <v>29376</v>
      </c>
      <c r="AI145" s="85"/>
      <c r="AJ145" s="156">
        <f t="shared" si="83"/>
        <v>29376</v>
      </c>
      <c r="AK145" s="85"/>
      <c r="AL145" s="85"/>
      <c r="AM145" s="156">
        <f aca="true" t="shared" si="89" ref="AM145:AM168">AJ145+AK145+AL145</f>
        <v>29376</v>
      </c>
    </row>
    <row r="146" spans="1:39" s="38" customFormat="1" ht="18.75">
      <c r="A146" s="44"/>
      <c r="B146" s="44"/>
      <c r="C146" s="45">
        <v>2</v>
      </c>
      <c r="D146" s="152" t="s">
        <v>352</v>
      </c>
      <c r="E146" s="47" t="s">
        <v>537</v>
      </c>
      <c r="F146" s="118">
        <v>3133</v>
      </c>
      <c r="G146" s="118"/>
      <c r="H146" s="109">
        <f t="shared" si="86"/>
        <v>3133</v>
      </c>
      <c r="I146" s="109"/>
      <c r="J146" s="109"/>
      <c r="K146" s="109">
        <f t="shared" si="87"/>
        <v>3133</v>
      </c>
      <c r="L146" s="109"/>
      <c r="M146" s="109"/>
      <c r="N146" s="109">
        <f t="shared" si="88"/>
        <v>3133</v>
      </c>
      <c r="O146" s="128"/>
      <c r="P146" s="109"/>
      <c r="Q146" s="109"/>
      <c r="R146" s="109">
        <f t="shared" si="80"/>
        <v>3133</v>
      </c>
      <c r="S146" s="109"/>
      <c r="T146" s="109"/>
      <c r="U146" s="84">
        <f t="shared" si="81"/>
        <v>3133</v>
      </c>
      <c r="V146" s="85"/>
      <c r="W146" s="85"/>
      <c r="X146" s="84">
        <f t="shared" si="82"/>
        <v>3133</v>
      </c>
      <c r="AI146" s="85"/>
      <c r="AJ146" s="156">
        <f t="shared" si="83"/>
        <v>3133</v>
      </c>
      <c r="AK146" s="85"/>
      <c r="AL146" s="85"/>
      <c r="AM146" s="156">
        <f t="shared" si="89"/>
        <v>3133</v>
      </c>
    </row>
    <row r="147" spans="1:39" s="38" customFormat="1" ht="18.75" hidden="1">
      <c r="A147" s="44"/>
      <c r="B147" s="44"/>
      <c r="C147" s="45">
        <v>6</v>
      </c>
      <c r="D147" s="152" t="s">
        <v>353</v>
      </c>
      <c r="E147" s="47" t="s">
        <v>296</v>
      </c>
      <c r="F147" s="118">
        <v>0</v>
      </c>
      <c r="G147" s="118"/>
      <c r="H147" s="109">
        <f t="shared" si="86"/>
        <v>0</v>
      </c>
      <c r="I147" s="109"/>
      <c r="J147" s="109"/>
      <c r="K147" s="109">
        <f t="shared" si="87"/>
        <v>0</v>
      </c>
      <c r="L147" s="109"/>
      <c r="M147" s="109"/>
      <c r="N147" s="109">
        <f t="shared" si="88"/>
        <v>0</v>
      </c>
      <c r="O147" s="128"/>
      <c r="P147" s="109"/>
      <c r="Q147" s="109"/>
      <c r="R147" s="109">
        <f t="shared" si="80"/>
        <v>0</v>
      </c>
      <c r="S147" s="109"/>
      <c r="T147" s="109"/>
      <c r="U147" s="84">
        <f t="shared" si="81"/>
        <v>0</v>
      </c>
      <c r="V147" s="85"/>
      <c r="W147" s="85"/>
      <c r="X147" s="84">
        <f t="shared" si="82"/>
        <v>0</v>
      </c>
      <c r="AI147" s="85"/>
      <c r="AJ147" s="156">
        <f t="shared" si="83"/>
        <v>0</v>
      </c>
      <c r="AK147" s="85"/>
      <c r="AL147" s="85"/>
      <c r="AM147" s="156">
        <f t="shared" si="89"/>
        <v>0</v>
      </c>
    </row>
    <row r="148" spans="1:39" s="53" customFormat="1" ht="37.5">
      <c r="A148" s="64"/>
      <c r="B148" s="64"/>
      <c r="C148" s="65">
        <v>10</v>
      </c>
      <c r="D148" s="69" t="s">
        <v>470</v>
      </c>
      <c r="E148" s="67" t="s">
        <v>471</v>
      </c>
      <c r="F148" s="118"/>
      <c r="G148" s="118">
        <v>6662500</v>
      </c>
      <c r="H148" s="109">
        <f t="shared" si="86"/>
        <v>6662500</v>
      </c>
      <c r="I148" s="109"/>
      <c r="J148" s="109"/>
      <c r="K148" s="109">
        <f t="shared" si="87"/>
        <v>6662500</v>
      </c>
      <c r="L148" s="109"/>
      <c r="M148" s="109"/>
      <c r="N148" s="109">
        <f t="shared" si="88"/>
        <v>6662500</v>
      </c>
      <c r="O148" s="128"/>
      <c r="P148" s="109"/>
      <c r="Q148" s="109"/>
      <c r="R148" s="109">
        <f t="shared" si="80"/>
        <v>6662500</v>
      </c>
      <c r="S148" s="109"/>
      <c r="T148" s="109"/>
      <c r="U148" s="84">
        <f t="shared" si="81"/>
        <v>6662500</v>
      </c>
      <c r="V148" s="84"/>
      <c r="W148" s="84"/>
      <c r="X148" s="84">
        <f t="shared" si="82"/>
        <v>6662500</v>
      </c>
      <c r="AI148" s="84"/>
      <c r="AJ148" s="156">
        <f t="shared" si="83"/>
        <v>6662500</v>
      </c>
      <c r="AK148" s="84"/>
      <c r="AL148" s="84"/>
      <c r="AM148" s="156">
        <f t="shared" si="89"/>
        <v>6662500</v>
      </c>
    </row>
    <row r="149" spans="1:39" s="53" customFormat="1" ht="91.5" customHeight="1">
      <c r="A149" s="64"/>
      <c r="B149" s="64"/>
      <c r="C149" s="65">
        <v>17</v>
      </c>
      <c r="D149" s="164" t="s">
        <v>141</v>
      </c>
      <c r="E149" s="164" t="s">
        <v>122</v>
      </c>
      <c r="F149" s="118"/>
      <c r="G149" s="118"/>
      <c r="H149" s="109"/>
      <c r="I149" s="109"/>
      <c r="J149" s="109"/>
      <c r="K149" s="109">
        <v>645705</v>
      </c>
      <c r="L149" s="109"/>
      <c r="M149" s="109"/>
      <c r="N149" s="109">
        <f t="shared" si="88"/>
        <v>645705</v>
      </c>
      <c r="O149" s="128"/>
      <c r="P149" s="109"/>
      <c r="Q149" s="109"/>
      <c r="R149" s="109">
        <f t="shared" si="80"/>
        <v>645705</v>
      </c>
      <c r="S149" s="109"/>
      <c r="T149" s="109"/>
      <c r="U149" s="84">
        <f t="shared" si="81"/>
        <v>645705</v>
      </c>
      <c r="V149" s="84"/>
      <c r="W149" s="84"/>
      <c r="X149" s="84">
        <f t="shared" si="82"/>
        <v>645705</v>
      </c>
      <c r="AI149" s="84"/>
      <c r="AJ149" s="156">
        <f t="shared" si="83"/>
        <v>645705</v>
      </c>
      <c r="AK149" s="84">
        <f>118683+57000+45064</f>
        <v>220747</v>
      </c>
      <c r="AL149" s="84">
        <f>-5926-120-15868</f>
        <v>-21914</v>
      </c>
      <c r="AM149" s="156">
        <f t="shared" si="89"/>
        <v>844538</v>
      </c>
    </row>
    <row r="150" spans="1:39" s="53" customFormat="1" ht="97.5" customHeight="1">
      <c r="A150" s="64"/>
      <c r="B150" s="64"/>
      <c r="C150" s="65">
        <v>18</v>
      </c>
      <c r="D150" s="164" t="s">
        <v>142</v>
      </c>
      <c r="E150" s="164" t="s">
        <v>140</v>
      </c>
      <c r="F150" s="118"/>
      <c r="G150" s="118"/>
      <c r="H150" s="109"/>
      <c r="I150" s="109"/>
      <c r="J150" s="109"/>
      <c r="K150" s="109">
        <v>149753</v>
      </c>
      <c r="L150" s="109">
        <f>10278.1</f>
        <v>10278.1</v>
      </c>
      <c r="M150" s="109"/>
      <c r="N150" s="109">
        <f t="shared" si="88"/>
        <v>160031.1</v>
      </c>
      <c r="O150" s="128"/>
      <c r="P150" s="109"/>
      <c r="Q150" s="109"/>
      <c r="R150" s="109">
        <f t="shared" si="80"/>
        <v>160031.1</v>
      </c>
      <c r="S150" s="109"/>
      <c r="T150" s="109"/>
      <c r="U150" s="84">
        <f t="shared" si="81"/>
        <v>160031.1</v>
      </c>
      <c r="V150" s="155">
        <f>20000+16700+8300+25000+26900</f>
        <v>96900</v>
      </c>
      <c r="W150" s="84"/>
      <c r="X150" s="155">
        <f t="shared" si="82"/>
        <v>256931.1</v>
      </c>
      <c r="Y150" s="131" t="s">
        <v>193</v>
      </c>
      <c r="AI150" s="155"/>
      <c r="AJ150" s="156">
        <f t="shared" si="83"/>
        <v>256931.1</v>
      </c>
      <c r="AK150" s="84"/>
      <c r="AL150" s="84"/>
      <c r="AM150" s="157">
        <f t="shared" si="89"/>
        <v>256931.1</v>
      </c>
    </row>
    <row r="151" spans="1:39" s="53" customFormat="1" ht="105" customHeight="1">
      <c r="A151" s="64"/>
      <c r="B151" s="64"/>
      <c r="C151" s="65">
        <v>21</v>
      </c>
      <c r="D151" s="69" t="s">
        <v>143</v>
      </c>
      <c r="E151" s="67" t="s">
        <v>123</v>
      </c>
      <c r="F151" s="118">
        <v>149753</v>
      </c>
      <c r="G151" s="118">
        <v>645705</v>
      </c>
      <c r="H151" s="109">
        <f>F151+G151</f>
        <v>795458</v>
      </c>
      <c r="I151" s="109"/>
      <c r="J151" s="109"/>
      <c r="K151" s="109">
        <v>418495</v>
      </c>
      <c r="L151" s="109"/>
      <c r="M151" s="109"/>
      <c r="N151" s="109">
        <f t="shared" si="88"/>
        <v>418495</v>
      </c>
      <c r="O151" s="128"/>
      <c r="P151" s="109"/>
      <c r="Q151" s="109"/>
      <c r="R151" s="109">
        <f t="shared" si="80"/>
        <v>418495</v>
      </c>
      <c r="S151" s="109"/>
      <c r="T151" s="109"/>
      <c r="U151" s="84">
        <f t="shared" si="81"/>
        <v>418495</v>
      </c>
      <c r="V151" s="84"/>
      <c r="W151" s="84"/>
      <c r="X151" s="84">
        <f t="shared" si="82"/>
        <v>418495</v>
      </c>
      <c r="AI151" s="84"/>
      <c r="AJ151" s="156">
        <f t="shared" si="83"/>
        <v>418495</v>
      </c>
      <c r="AK151" s="84"/>
      <c r="AL151" s="84">
        <f>-23150</f>
        <v>-23150</v>
      </c>
      <c r="AM151" s="157">
        <f t="shared" si="89"/>
        <v>395345</v>
      </c>
    </row>
    <row r="152" spans="1:39" s="53" customFormat="1" ht="93.75">
      <c r="A152" s="64"/>
      <c r="B152" s="64"/>
      <c r="C152" s="65">
        <v>22</v>
      </c>
      <c r="D152" s="67" t="s">
        <v>144</v>
      </c>
      <c r="E152" s="67" t="s">
        <v>124</v>
      </c>
      <c r="F152" s="118">
        <v>111332</v>
      </c>
      <c r="G152" s="118">
        <v>418495</v>
      </c>
      <c r="H152" s="109">
        <f>F152+G152</f>
        <v>529827</v>
      </c>
      <c r="I152" s="109"/>
      <c r="J152" s="109"/>
      <c r="K152" s="109">
        <v>111332</v>
      </c>
      <c r="L152" s="109"/>
      <c r="M152" s="109"/>
      <c r="N152" s="109">
        <f t="shared" si="88"/>
        <v>111332</v>
      </c>
      <c r="O152" s="128"/>
      <c r="P152" s="109"/>
      <c r="Q152" s="109"/>
      <c r="R152" s="109">
        <f t="shared" si="80"/>
        <v>111332</v>
      </c>
      <c r="S152" s="109"/>
      <c r="T152" s="109"/>
      <c r="U152" s="84">
        <f t="shared" si="81"/>
        <v>111332</v>
      </c>
      <c r="V152" s="134">
        <f>12171+45730</f>
        <v>57901</v>
      </c>
      <c r="W152" s="84">
        <f>-57171-25000</f>
        <v>-82171</v>
      </c>
      <c r="X152" s="84">
        <f t="shared" si="82"/>
        <v>87062</v>
      </c>
      <c r="Y152" s="131" t="s">
        <v>194</v>
      </c>
      <c r="AI152" s="134"/>
      <c r="AJ152" s="156">
        <f t="shared" si="83"/>
        <v>87062</v>
      </c>
      <c r="AK152" s="84"/>
      <c r="AL152" s="84"/>
      <c r="AM152" s="156">
        <f t="shared" si="89"/>
        <v>87062</v>
      </c>
    </row>
    <row r="153" spans="1:39" s="53" customFormat="1" ht="18.75">
      <c r="A153" s="64"/>
      <c r="B153" s="64"/>
      <c r="C153" s="65">
        <v>113</v>
      </c>
      <c r="D153" s="69" t="s">
        <v>204</v>
      </c>
      <c r="E153" s="67" t="s">
        <v>310</v>
      </c>
      <c r="F153" s="118">
        <v>166000</v>
      </c>
      <c r="G153" s="118"/>
      <c r="H153" s="109">
        <f>F153+G153</f>
        <v>166000</v>
      </c>
      <c r="I153" s="109">
        <f>81200+17650</f>
        <v>98850</v>
      </c>
      <c r="J153" s="109"/>
      <c r="K153" s="109">
        <f>H153+I153+J153</f>
        <v>264850</v>
      </c>
      <c r="L153" s="109">
        <v>63000</v>
      </c>
      <c r="M153" s="109"/>
      <c r="N153" s="109">
        <f>K153+L153+M153</f>
        <v>327850</v>
      </c>
      <c r="O153" s="128"/>
      <c r="P153" s="109"/>
      <c r="Q153" s="109"/>
      <c r="R153" s="109">
        <f t="shared" si="80"/>
        <v>327850</v>
      </c>
      <c r="S153" s="109"/>
      <c r="T153" s="109"/>
      <c r="U153" s="84">
        <f t="shared" si="81"/>
        <v>327850</v>
      </c>
      <c r="V153" s="84">
        <v>57934</v>
      </c>
      <c r="W153" s="84"/>
      <c r="X153" s="84">
        <f t="shared" si="82"/>
        <v>385784</v>
      </c>
      <c r="AI153" s="84"/>
      <c r="AJ153" s="156">
        <f t="shared" si="83"/>
        <v>385784</v>
      </c>
      <c r="AK153" s="84"/>
      <c r="AL153" s="84"/>
      <c r="AM153" s="156">
        <f t="shared" si="89"/>
        <v>385784</v>
      </c>
    </row>
    <row r="154" spans="1:39" s="38" customFormat="1" ht="18.75" hidden="1">
      <c r="A154" s="44"/>
      <c r="B154" s="44"/>
      <c r="C154" s="45">
        <v>114</v>
      </c>
      <c r="D154" s="152" t="s">
        <v>427</v>
      </c>
      <c r="E154" s="47" t="s">
        <v>313</v>
      </c>
      <c r="F154" s="118"/>
      <c r="G154" s="118"/>
      <c r="H154" s="109">
        <f t="shared" si="86"/>
        <v>0</v>
      </c>
      <c r="I154" s="109"/>
      <c r="J154" s="109"/>
      <c r="K154" s="109">
        <f t="shared" si="87"/>
        <v>0</v>
      </c>
      <c r="L154" s="109"/>
      <c r="M154" s="109"/>
      <c r="N154" s="109">
        <f t="shared" si="88"/>
        <v>0</v>
      </c>
      <c r="O154" s="128"/>
      <c r="P154" s="109"/>
      <c r="Q154" s="109"/>
      <c r="R154" s="109">
        <f>O154+P154+Q154</f>
        <v>0</v>
      </c>
      <c r="S154" s="109"/>
      <c r="T154" s="109"/>
      <c r="U154" s="84">
        <f>R154+S154+T154</f>
        <v>0</v>
      </c>
      <c r="V154" s="84"/>
      <c r="W154" s="84"/>
      <c r="X154" s="84">
        <f>U154+V154+W154</f>
        <v>0</v>
      </c>
      <c r="AI154" s="84"/>
      <c r="AJ154" s="156">
        <f t="shared" si="83"/>
        <v>0</v>
      </c>
      <c r="AK154" s="84"/>
      <c r="AL154" s="84"/>
      <c r="AM154" s="156">
        <f>Z154+AL154</f>
        <v>0</v>
      </c>
    </row>
    <row r="155" spans="1:39" s="38" customFormat="1" ht="18.75">
      <c r="A155" s="34">
        <v>8</v>
      </c>
      <c r="B155" s="34"/>
      <c r="C155" s="35"/>
      <c r="D155" s="37" t="s">
        <v>428</v>
      </c>
      <c r="E155" s="37" t="s">
        <v>595</v>
      </c>
      <c r="F155" s="116">
        <f aca="true" t="shared" si="90" ref="F155:K155">F156+F161+F170+F178+F184+F189</f>
        <v>2271595</v>
      </c>
      <c r="G155" s="116">
        <f t="shared" si="90"/>
        <v>0</v>
      </c>
      <c r="H155" s="117">
        <f t="shared" si="90"/>
        <v>2271595</v>
      </c>
      <c r="I155" s="117">
        <f t="shared" si="90"/>
        <v>0</v>
      </c>
      <c r="J155" s="117">
        <f t="shared" si="90"/>
        <v>0</v>
      </c>
      <c r="K155" s="117">
        <f t="shared" si="90"/>
        <v>2271595</v>
      </c>
      <c r="L155" s="117">
        <f>L156+L161+L170+L178+L184+L189</f>
        <v>59993.1</v>
      </c>
      <c r="M155" s="117">
        <f>M156+M161+M170+M178+M184+M189</f>
        <v>-150</v>
      </c>
      <c r="N155" s="117">
        <f>N156+N161+N170+N178+N184+N189</f>
        <v>2331438.1</v>
      </c>
      <c r="O155" s="128"/>
      <c r="P155" s="117">
        <f aca="true" t="shared" si="91" ref="P155:U155">P156+P161+P170+P178+P184+P189</f>
        <v>0</v>
      </c>
      <c r="Q155" s="117">
        <f t="shared" si="91"/>
        <v>0</v>
      </c>
      <c r="R155" s="117">
        <f t="shared" si="91"/>
        <v>2331438.1</v>
      </c>
      <c r="S155" s="117">
        <f t="shared" si="91"/>
        <v>0</v>
      </c>
      <c r="T155" s="117">
        <f t="shared" si="91"/>
        <v>0</v>
      </c>
      <c r="U155" s="82">
        <f t="shared" si="91"/>
        <v>2331438.1</v>
      </c>
      <c r="V155" s="82">
        <f>V156+V161+V170+V178+V184+V189</f>
        <v>40956.4</v>
      </c>
      <c r="W155" s="82">
        <f>W156+W161+W170+W178+W184+W189</f>
        <v>-1112.3</v>
      </c>
      <c r="X155" s="82">
        <f>X156+X161+X170+X178+X184+X189</f>
        <v>2371282.2</v>
      </c>
      <c r="AI155" s="82">
        <f>AI156+AI161+AI170+AI178+AI184+AI189</f>
        <v>0</v>
      </c>
      <c r="AJ155" s="82">
        <f>AJ156+AJ161+AJ170+AJ178+AJ184+AJ189</f>
        <v>2371282.2</v>
      </c>
      <c r="AK155" s="82">
        <f>AK156+AK161+AK170+AK178+AK184+AK189</f>
        <v>0</v>
      </c>
      <c r="AL155" s="82">
        <f>AL156+AL161+AL170+AL178+AL184+AL189</f>
        <v>0</v>
      </c>
      <c r="AM155" s="82">
        <f>AM156+AM161+AM170+AM178+AM184+AM189</f>
        <v>2371282.2</v>
      </c>
    </row>
    <row r="156" spans="1:39" s="38" customFormat="1" ht="18.75">
      <c r="A156" s="39"/>
      <c r="B156" s="39">
        <v>259</v>
      </c>
      <c r="C156" s="40"/>
      <c r="D156" s="42" t="s">
        <v>429</v>
      </c>
      <c r="E156" s="42" t="s">
        <v>596</v>
      </c>
      <c r="F156" s="116">
        <f aca="true" t="shared" si="92" ref="F156:K156">F157+F158+F159+F160</f>
        <v>136340</v>
      </c>
      <c r="G156" s="116">
        <f t="shared" si="92"/>
        <v>0</v>
      </c>
      <c r="H156" s="117">
        <f t="shared" si="92"/>
        <v>136340</v>
      </c>
      <c r="I156" s="117">
        <f t="shared" si="92"/>
        <v>0</v>
      </c>
      <c r="J156" s="117">
        <f t="shared" si="92"/>
        <v>0</v>
      </c>
      <c r="K156" s="117">
        <f t="shared" si="92"/>
        <v>136340</v>
      </c>
      <c r="L156" s="117">
        <f>L157+L158+L159+L160</f>
        <v>4864</v>
      </c>
      <c r="M156" s="117">
        <f>M157+M158+M159+M160</f>
        <v>0</v>
      </c>
      <c r="N156" s="117">
        <f>N157+N158+N159+N160</f>
        <v>141204</v>
      </c>
      <c r="O156" s="128"/>
      <c r="P156" s="117">
        <f aca="true" t="shared" si="93" ref="P156:U156">P157+P158+P159+P160</f>
        <v>0</v>
      </c>
      <c r="Q156" s="117">
        <f t="shared" si="93"/>
        <v>0</v>
      </c>
      <c r="R156" s="117">
        <f t="shared" si="93"/>
        <v>141204</v>
      </c>
      <c r="S156" s="117">
        <f t="shared" si="93"/>
        <v>0</v>
      </c>
      <c r="T156" s="117">
        <f t="shared" si="93"/>
        <v>0</v>
      </c>
      <c r="U156" s="83">
        <f t="shared" si="93"/>
        <v>141204</v>
      </c>
      <c r="V156" s="83">
        <f>V157+V158+V159+V160</f>
        <v>0</v>
      </c>
      <c r="W156" s="83">
        <f>W157+W158+W159+W160</f>
        <v>0</v>
      </c>
      <c r="X156" s="83">
        <f>X157+X158+X159+X160</f>
        <v>141204</v>
      </c>
      <c r="AI156" s="83">
        <f>AI157+AI158+AI159+AI160</f>
        <v>0</v>
      </c>
      <c r="AJ156" s="83">
        <f>AJ157+AJ158+AJ159+AJ160</f>
        <v>141204</v>
      </c>
      <c r="AK156" s="83">
        <f>AK157+AK158+AK159+AK160</f>
        <v>0</v>
      </c>
      <c r="AL156" s="83">
        <f>AL157+AL158+AL159+AL160</f>
        <v>0</v>
      </c>
      <c r="AM156" s="83">
        <f>AM157+AM158+AM159+AM160</f>
        <v>141204</v>
      </c>
    </row>
    <row r="157" spans="1:39" s="38" customFormat="1" ht="37.5">
      <c r="A157" s="44"/>
      <c r="B157" s="44"/>
      <c r="C157" s="45">
        <v>1</v>
      </c>
      <c r="D157" s="152" t="s">
        <v>430</v>
      </c>
      <c r="E157" s="47" t="s">
        <v>327</v>
      </c>
      <c r="F157" s="118">
        <v>15783</v>
      </c>
      <c r="G157" s="118"/>
      <c r="H157" s="109">
        <f>F157+G157</f>
        <v>15783</v>
      </c>
      <c r="I157" s="109"/>
      <c r="J157" s="109"/>
      <c r="K157" s="109">
        <f>H157+I157+J157</f>
        <v>15783</v>
      </c>
      <c r="L157" s="109">
        <f>310</f>
        <v>310</v>
      </c>
      <c r="M157" s="109"/>
      <c r="N157" s="109">
        <f>K157+L157+M157</f>
        <v>16093</v>
      </c>
      <c r="O157" s="128"/>
      <c r="P157" s="109"/>
      <c r="Q157" s="109"/>
      <c r="R157" s="109">
        <f>N157+P157+Q157</f>
        <v>16093</v>
      </c>
      <c r="S157" s="109"/>
      <c r="T157" s="109"/>
      <c r="U157" s="84">
        <f>Q157+R157</f>
        <v>16093</v>
      </c>
      <c r="V157" s="85"/>
      <c r="W157" s="85"/>
      <c r="X157" s="84">
        <f>U157+V157+W157</f>
        <v>16093</v>
      </c>
      <c r="AI157" s="85"/>
      <c r="AJ157" s="156">
        <f>X157+AI157</f>
        <v>16093</v>
      </c>
      <c r="AK157" s="85"/>
      <c r="AL157" s="85"/>
      <c r="AM157" s="156">
        <f t="shared" si="89"/>
        <v>16093</v>
      </c>
    </row>
    <row r="158" spans="1:39" s="38" customFormat="1" ht="18.75">
      <c r="A158" s="44"/>
      <c r="B158" s="44"/>
      <c r="C158" s="45">
        <v>2</v>
      </c>
      <c r="D158" s="45" t="s">
        <v>431</v>
      </c>
      <c r="E158" s="47" t="s">
        <v>597</v>
      </c>
      <c r="F158" s="118">
        <v>118751</v>
      </c>
      <c r="G158" s="118"/>
      <c r="H158" s="109">
        <f>F158+G158</f>
        <v>118751</v>
      </c>
      <c r="I158" s="109"/>
      <c r="J158" s="109"/>
      <c r="K158" s="109">
        <f>H158+I158+J158</f>
        <v>118751</v>
      </c>
      <c r="L158" s="109">
        <f>4554</f>
        <v>4554</v>
      </c>
      <c r="M158" s="109"/>
      <c r="N158" s="109">
        <f>K158+L158+M158</f>
        <v>123305</v>
      </c>
      <c r="O158" s="128"/>
      <c r="P158" s="109"/>
      <c r="Q158" s="109"/>
      <c r="R158" s="109">
        <f>N158+P158+Q158</f>
        <v>123305</v>
      </c>
      <c r="S158" s="109"/>
      <c r="T158" s="109"/>
      <c r="U158" s="84">
        <f>Q158+R158</f>
        <v>123305</v>
      </c>
      <c r="V158" s="85"/>
      <c r="W158" s="85"/>
      <c r="X158" s="84">
        <f>U158+V158+W158</f>
        <v>123305</v>
      </c>
      <c r="AI158" s="85"/>
      <c r="AJ158" s="156">
        <f>X158+AI158</f>
        <v>123305</v>
      </c>
      <c r="AK158" s="85"/>
      <c r="AL158" s="85"/>
      <c r="AM158" s="156">
        <f t="shared" si="89"/>
        <v>123305</v>
      </c>
    </row>
    <row r="159" spans="1:39" s="38" customFormat="1" ht="18.75">
      <c r="A159" s="44"/>
      <c r="B159" s="44"/>
      <c r="C159" s="45">
        <v>4</v>
      </c>
      <c r="D159" s="45" t="s">
        <v>352</v>
      </c>
      <c r="E159" s="47" t="s">
        <v>537</v>
      </c>
      <c r="F159" s="118">
        <v>1806</v>
      </c>
      <c r="G159" s="118"/>
      <c r="H159" s="109">
        <f>F159+G159</f>
        <v>1806</v>
      </c>
      <c r="I159" s="109"/>
      <c r="J159" s="109"/>
      <c r="K159" s="109">
        <f>H159+I159+J159</f>
        <v>1806</v>
      </c>
      <c r="L159" s="109"/>
      <c r="M159" s="109"/>
      <c r="N159" s="109">
        <f>K159+L159+M159</f>
        <v>1806</v>
      </c>
      <c r="O159" s="128"/>
      <c r="P159" s="109"/>
      <c r="Q159" s="109"/>
      <c r="R159" s="109">
        <f>N159+P159+Q159</f>
        <v>1806</v>
      </c>
      <c r="S159" s="109"/>
      <c r="T159" s="109"/>
      <c r="U159" s="84">
        <f>Q159+R159</f>
        <v>1806</v>
      </c>
      <c r="V159" s="85"/>
      <c r="W159" s="85"/>
      <c r="X159" s="84">
        <f>U159+V159+W159</f>
        <v>1806</v>
      </c>
      <c r="AI159" s="85"/>
      <c r="AJ159" s="156">
        <f>X159+AI159</f>
        <v>1806</v>
      </c>
      <c r="AK159" s="85"/>
      <c r="AL159" s="85"/>
      <c r="AM159" s="156">
        <f t="shared" si="89"/>
        <v>1806</v>
      </c>
    </row>
    <row r="160" spans="1:39" s="38" customFormat="1" ht="18.75" hidden="1">
      <c r="A160" s="44"/>
      <c r="B160" s="44"/>
      <c r="C160" s="45">
        <v>6</v>
      </c>
      <c r="D160" s="152" t="s">
        <v>353</v>
      </c>
      <c r="E160" s="47" t="s">
        <v>296</v>
      </c>
      <c r="F160" s="118"/>
      <c r="G160" s="118"/>
      <c r="H160" s="109">
        <f>F160+G160</f>
        <v>0</v>
      </c>
      <c r="I160" s="109"/>
      <c r="J160" s="109"/>
      <c r="K160" s="109">
        <f>H160+I160+J160</f>
        <v>0</v>
      </c>
      <c r="L160" s="109"/>
      <c r="M160" s="109"/>
      <c r="N160" s="109">
        <f>K160+L160+M160</f>
        <v>0</v>
      </c>
      <c r="O160" s="128"/>
      <c r="P160" s="109"/>
      <c r="Q160" s="109"/>
      <c r="R160" s="109">
        <f>O160+P160+Q160</f>
        <v>0</v>
      </c>
      <c r="S160" s="109"/>
      <c r="T160" s="109"/>
      <c r="U160" s="85">
        <f>R160+S160+T160</f>
        <v>0</v>
      </c>
      <c r="V160" s="85"/>
      <c r="W160" s="85"/>
      <c r="X160" s="85">
        <f>U160+V160+W160</f>
        <v>0</v>
      </c>
      <c r="AI160" s="85"/>
      <c r="AJ160" s="85">
        <f>AG160+AH160+AI160</f>
        <v>0</v>
      </c>
      <c r="AK160" s="85"/>
      <c r="AL160" s="85"/>
      <c r="AM160" s="156">
        <f t="shared" si="89"/>
        <v>0</v>
      </c>
    </row>
    <row r="161" spans="1:39" s="38" customFormat="1" ht="18.75">
      <c r="A161" s="39"/>
      <c r="B161" s="39">
        <v>260</v>
      </c>
      <c r="C161" s="40"/>
      <c r="D161" s="42" t="s">
        <v>387</v>
      </c>
      <c r="E161" s="42" t="s">
        <v>566</v>
      </c>
      <c r="F161" s="116">
        <f>F162+F163+F164+F165+F166+F167+F168+F169</f>
        <v>972978</v>
      </c>
      <c r="G161" s="116">
        <f>G162+G163+G164+G165+G166+G167+G168+G169</f>
        <v>0</v>
      </c>
      <c r="H161" s="117">
        <f>H162+H163+H164+H165+H166+H167+H168+H169</f>
        <v>972978</v>
      </c>
      <c r="I161" s="117">
        <f>I162+I163+I164+I165+I166+I167+I168+I169</f>
        <v>0</v>
      </c>
      <c r="J161" s="117">
        <f>J162+J163+J164+J165+J166+J167+J168+J169</f>
        <v>0</v>
      </c>
      <c r="K161" s="117">
        <f>SUM(K162:K169)</f>
        <v>972978</v>
      </c>
      <c r="L161" s="117">
        <f>SUM(L162:L169)</f>
        <v>14242</v>
      </c>
      <c r="M161" s="117">
        <f>SUM(M162:M169)</f>
        <v>-150</v>
      </c>
      <c r="N161" s="117">
        <f>SUM(N162:N169)</f>
        <v>987070</v>
      </c>
      <c r="O161" s="128"/>
      <c r="P161" s="117">
        <f aca="true" t="shared" si="94" ref="P161:X161">SUM(P162:P169)</f>
        <v>0</v>
      </c>
      <c r="Q161" s="117">
        <f t="shared" si="94"/>
        <v>0</v>
      </c>
      <c r="R161" s="117">
        <f t="shared" si="94"/>
        <v>987070</v>
      </c>
      <c r="S161" s="117">
        <f t="shared" si="94"/>
        <v>0</v>
      </c>
      <c r="T161" s="117">
        <f t="shared" si="94"/>
        <v>0</v>
      </c>
      <c r="U161" s="83">
        <f t="shared" si="94"/>
        <v>987070</v>
      </c>
      <c r="V161" s="83">
        <f t="shared" si="94"/>
        <v>27909</v>
      </c>
      <c r="W161" s="83">
        <f t="shared" si="94"/>
        <v>-200</v>
      </c>
      <c r="X161" s="83">
        <f t="shared" si="94"/>
        <v>1014779</v>
      </c>
      <c r="AI161" s="83">
        <f>SUM(AI162:AI169)</f>
        <v>0</v>
      </c>
      <c r="AJ161" s="83">
        <f>SUM(AJ162:AJ169)</f>
        <v>1014779</v>
      </c>
      <c r="AK161" s="83">
        <f>SUM(AK162:AK169)</f>
        <v>0</v>
      </c>
      <c r="AL161" s="83">
        <f>SUM(AL162:AL169)</f>
        <v>0</v>
      </c>
      <c r="AM161" s="83">
        <f>SUM(AM162:AM169)</f>
        <v>1014779</v>
      </c>
    </row>
    <row r="162" spans="1:39" s="38" customFormat="1" ht="37.5">
      <c r="A162" s="44"/>
      <c r="B162" s="44"/>
      <c r="C162" s="45">
        <v>1</v>
      </c>
      <c r="D162" s="152" t="s">
        <v>433</v>
      </c>
      <c r="E162" s="47" t="s">
        <v>328</v>
      </c>
      <c r="F162" s="118">
        <f>35830</f>
        <v>35830</v>
      </c>
      <c r="G162" s="118"/>
      <c r="H162" s="109">
        <f aca="true" t="shared" si="95" ref="H162:H169">F162+G162</f>
        <v>35830</v>
      </c>
      <c r="I162" s="109"/>
      <c r="J162" s="109"/>
      <c r="K162" s="109">
        <f aca="true" t="shared" si="96" ref="K162:K169">H162+I162+J162</f>
        <v>35830</v>
      </c>
      <c r="L162" s="109">
        <f>1231+150</f>
        <v>1381</v>
      </c>
      <c r="M162" s="109"/>
      <c r="N162" s="109">
        <f aca="true" t="shared" si="97" ref="N162:N169">K162+L162+M162</f>
        <v>37211</v>
      </c>
      <c r="O162" s="128"/>
      <c r="P162" s="109"/>
      <c r="Q162" s="109"/>
      <c r="R162" s="109">
        <f aca="true" t="shared" si="98" ref="R162:R176">N162+P162+Q162</f>
        <v>37211</v>
      </c>
      <c r="S162" s="109"/>
      <c r="T162" s="109"/>
      <c r="U162" s="84">
        <f aca="true" t="shared" si="99" ref="U162:U168">Q162+R162</f>
        <v>37211</v>
      </c>
      <c r="V162" s="85"/>
      <c r="W162" s="85"/>
      <c r="X162" s="84">
        <f aca="true" t="shared" si="100" ref="X162:X168">U162+V162+W162</f>
        <v>37211</v>
      </c>
      <c r="AI162" s="85"/>
      <c r="AJ162" s="156">
        <f aca="true" t="shared" si="101" ref="AJ162:AJ168">X162+AI162</f>
        <v>37211</v>
      </c>
      <c r="AK162" s="85"/>
      <c r="AL162" s="85"/>
      <c r="AM162" s="156">
        <f t="shared" si="89"/>
        <v>37211</v>
      </c>
    </row>
    <row r="163" spans="1:39" s="53" customFormat="1" ht="37.5">
      <c r="A163" s="64"/>
      <c r="B163" s="64"/>
      <c r="C163" s="65">
        <v>2</v>
      </c>
      <c r="D163" s="69" t="s">
        <v>432</v>
      </c>
      <c r="E163" s="67" t="s">
        <v>283</v>
      </c>
      <c r="F163" s="118">
        <v>57564</v>
      </c>
      <c r="G163" s="118"/>
      <c r="H163" s="109">
        <f t="shared" si="95"/>
        <v>57564</v>
      </c>
      <c r="I163" s="109"/>
      <c r="J163" s="109"/>
      <c r="K163" s="109">
        <f t="shared" si="96"/>
        <v>57564</v>
      </c>
      <c r="L163" s="109"/>
      <c r="M163" s="109"/>
      <c r="N163" s="109">
        <f t="shared" si="97"/>
        <v>57564</v>
      </c>
      <c r="O163" s="128"/>
      <c r="P163" s="109"/>
      <c r="Q163" s="109"/>
      <c r="R163" s="109">
        <f t="shared" si="98"/>
        <v>57564</v>
      </c>
      <c r="S163" s="109"/>
      <c r="T163" s="109"/>
      <c r="U163" s="84">
        <f t="shared" si="99"/>
        <v>57564</v>
      </c>
      <c r="V163" s="84"/>
      <c r="W163" s="84"/>
      <c r="X163" s="84">
        <f t="shared" si="100"/>
        <v>57564</v>
      </c>
      <c r="AI163" s="84"/>
      <c r="AJ163" s="156">
        <f t="shared" si="101"/>
        <v>57564</v>
      </c>
      <c r="AK163" s="84"/>
      <c r="AL163" s="84"/>
      <c r="AM163" s="156">
        <f t="shared" si="89"/>
        <v>57564</v>
      </c>
    </row>
    <row r="164" spans="1:39" s="53" customFormat="1" ht="18.75">
      <c r="A164" s="64"/>
      <c r="B164" s="64"/>
      <c r="C164" s="65">
        <v>3</v>
      </c>
      <c r="D164" s="69" t="s">
        <v>434</v>
      </c>
      <c r="E164" s="67" t="s">
        <v>598</v>
      </c>
      <c r="F164" s="118">
        <v>24925</v>
      </c>
      <c r="G164" s="118"/>
      <c r="H164" s="109">
        <f t="shared" si="95"/>
        <v>24925</v>
      </c>
      <c r="I164" s="109"/>
      <c r="J164" s="109"/>
      <c r="K164" s="109">
        <f t="shared" si="96"/>
        <v>24925</v>
      </c>
      <c r="L164" s="109">
        <v>5562</v>
      </c>
      <c r="M164" s="109"/>
      <c r="N164" s="109">
        <f t="shared" si="97"/>
        <v>30487</v>
      </c>
      <c r="O164" s="128"/>
      <c r="P164" s="109"/>
      <c r="Q164" s="109"/>
      <c r="R164" s="109">
        <f t="shared" si="98"/>
        <v>30487</v>
      </c>
      <c r="S164" s="109"/>
      <c r="T164" s="109"/>
      <c r="U164" s="84">
        <f t="shared" si="99"/>
        <v>30487</v>
      </c>
      <c r="V164" s="84">
        <f>10000</f>
        <v>10000</v>
      </c>
      <c r="W164" s="84">
        <f>-200</f>
        <v>-200</v>
      </c>
      <c r="X164" s="84">
        <f t="shared" si="100"/>
        <v>40287</v>
      </c>
      <c r="AI164" s="84"/>
      <c r="AJ164" s="156">
        <f t="shared" si="101"/>
        <v>40287</v>
      </c>
      <c r="AK164" s="84"/>
      <c r="AL164" s="84"/>
      <c r="AM164" s="156">
        <f t="shared" si="89"/>
        <v>40287</v>
      </c>
    </row>
    <row r="165" spans="1:39" s="53" customFormat="1" ht="62.25" customHeight="1">
      <c r="A165" s="64"/>
      <c r="B165" s="64"/>
      <c r="C165" s="65">
        <v>4</v>
      </c>
      <c r="D165" s="69" t="s">
        <v>435</v>
      </c>
      <c r="E165" s="67" t="s">
        <v>0</v>
      </c>
      <c r="F165" s="118">
        <v>834605</v>
      </c>
      <c r="G165" s="118"/>
      <c r="H165" s="109">
        <f t="shared" si="95"/>
        <v>834605</v>
      </c>
      <c r="I165" s="109"/>
      <c r="J165" s="109"/>
      <c r="K165" s="109">
        <f t="shared" si="96"/>
        <v>834605</v>
      </c>
      <c r="L165" s="109">
        <v>7299</v>
      </c>
      <c r="M165" s="109"/>
      <c r="N165" s="109">
        <f t="shared" si="97"/>
        <v>841904</v>
      </c>
      <c r="O165" s="128"/>
      <c r="P165" s="109"/>
      <c r="Q165" s="109"/>
      <c r="R165" s="109">
        <f t="shared" si="98"/>
        <v>841904</v>
      </c>
      <c r="S165" s="109"/>
      <c r="T165" s="109"/>
      <c r="U165" s="84">
        <f t="shared" si="99"/>
        <v>841904</v>
      </c>
      <c r="V165" s="84">
        <v>17909</v>
      </c>
      <c r="W165" s="84"/>
      <c r="X165" s="84">
        <f t="shared" si="100"/>
        <v>859813</v>
      </c>
      <c r="Y165" s="53" t="s">
        <v>181</v>
      </c>
      <c r="AI165" s="84"/>
      <c r="AJ165" s="156">
        <f t="shared" si="101"/>
        <v>859813</v>
      </c>
      <c r="AK165" s="84"/>
      <c r="AL165" s="84"/>
      <c r="AM165" s="156">
        <f t="shared" si="89"/>
        <v>859813</v>
      </c>
    </row>
    <row r="166" spans="1:39" s="38" customFormat="1" ht="18.75">
      <c r="A166" s="44"/>
      <c r="B166" s="44"/>
      <c r="C166" s="45">
        <v>5</v>
      </c>
      <c r="D166" s="152" t="s">
        <v>352</v>
      </c>
      <c r="E166" s="47" t="s">
        <v>537</v>
      </c>
      <c r="F166" s="118">
        <v>2109</v>
      </c>
      <c r="G166" s="118"/>
      <c r="H166" s="109">
        <f t="shared" si="95"/>
        <v>2109</v>
      </c>
      <c r="I166" s="109"/>
      <c r="J166" s="109"/>
      <c r="K166" s="109">
        <f t="shared" si="96"/>
        <v>2109</v>
      </c>
      <c r="L166" s="109"/>
      <c r="M166" s="109"/>
      <c r="N166" s="109">
        <f t="shared" si="97"/>
        <v>2109</v>
      </c>
      <c r="O166" s="128"/>
      <c r="P166" s="109"/>
      <c r="Q166" s="109"/>
      <c r="R166" s="109">
        <f t="shared" si="98"/>
        <v>2109</v>
      </c>
      <c r="S166" s="109"/>
      <c r="T166" s="109"/>
      <c r="U166" s="84">
        <f t="shared" si="99"/>
        <v>2109</v>
      </c>
      <c r="V166" s="85"/>
      <c r="W166" s="85"/>
      <c r="X166" s="84">
        <f t="shared" si="100"/>
        <v>2109</v>
      </c>
      <c r="AI166" s="85"/>
      <c r="AJ166" s="156">
        <f t="shared" si="101"/>
        <v>2109</v>
      </c>
      <c r="AK166" s="85"/>
      <c r="AL166" s="85"/>
      <c r="AM166" s="156">
        <f t="shared" si="89"/>
        <v>2109</v>
      </c>
    </row>
    <row r="167" spans="1:39" s="38" customFormat="1" ht="18.75">
      <c r="A167" s="44"/>
      <c r="B167" s="44"/>
      <c r="C167" s="45">
        <v>11</v>
      </c>
      <c r="D167" s="152" t="s">
        <v>353</v>
      </c>
      <c r="E167" s="47" t="s">
        <v>296</v>
      </c>
      <c r="F167" s="118">
        <v>450</v>
      </c>
      <c r="G167" s="118"/>
      <c r="H167" s="109">
        <f t="shared" si="95"/>
        <v>450</v>
      </c>
      <c r="I167" s="109"/>
      <c r="J167" s="109"/>
      <c r="K167" s="109">
        <f t="shared" si="96"/>
        <v>450</v>
      </c>
      <c r="L167" s="109"/>
      <c r="M167" s="109">
        <f>-150</f>
        <v>-150</v>
      </c>
      <c r="N167" s="109">
        <f t="shared" si="97"/>
        <v>300</v>
      </c>
      <c r="O167" s="128"/>
      <c r="P167" s="109"/>
      <c r="Q167" s="109"/>
      <c r="R167" s="109">
        <f t="shared" si="98"/>
        <v>300</v>
      </c>
      <c r="S167" s="109"/>
      <c r="T167" s="109"/>
      <c r="U167" s="84">
        <f t="shared" si="99"/>
        <v>300</v>
      </c>
      <c r="V167" s="85"/>
      <c r="W167" s="85"/>
      <c r="X167" s="84">
        <f t="shared" si="100"/>
        <v>300</v>
      </c>
      <c r="AI167" s="85"/>
      <c r="AJ167" s="156">
        <f t="shared" si="101"/>
        <v>300</v>
      </c>
      <c r="AK167" s="85"/>
      <c r="AL167" s="85"/>
      <c r="AM167" s="156">
        <f t="shared" si="89"/>
        <v>300</v>
      </c>
    </row>
    <row r="168" spans="1:39" s="38" customFormat="1" ht="18.75">
      <c r="A168" s="44"/>
      <c r="B168" s="44"/>
      <c r="C168" s="45">
        <v>13</v>
      </c>
      <c r="D168" s="152" t="s">
        <v>436</v>
      </c>
      <c r="E168" s="47" t="s">
        <v>1</v>
      </c>
      <c r="F168" s="118">
        <v>17495</v>
      </c>
      <c r="G168" s="118"/>
      <c r="H168" s="109">
        <f t="shared" si="95"/>
        <v>17495</v>
      </c>
      <c r="I168" s="109"/>
      <c r="J168" s="109"/>
      <c r="K168" s="109">
        <f t="shared" si="96"/>
        <v>17495</v>
      </c>
      <c r="L168" s="109"/>
      <c r="M168" s="109"/>
      <c r="N168" s="109">
        <f t="shared" si="97"/>
        <v>17495</v>
      </c>
      <c r="O168" s="128"/>
      <c r="P168" s="109"/>
      <c r="Q168" s="109"/>
      <c r="R168" s="109">
        <f t="shared" si="98"/>
        <v>17495</v>
      </c>
      <c r="S168" s="109"/>
      <c r="T168" s="109"/>
      <c r="U168" s="84">
        <f t="shared" si="99"/>
        <v>17495</v>
      </c>
      <c r="V168" s="85"/>
      <c r="W168" s="85"/>
      <c r="X168" s="84">
        <f t="shared" si="100"/>
        <v>17495</v>
      </c>
      <c r="AI168" s="85"/>
      <c r="AJ168" s="156">
        <f t="shared" si="101"/>
        <v>17495</v>
      </c>
      <c r="AK168" s="85"/>
      <c r="AL168" s="85"/>
      <c r="AM168" s="157">
        <f t="shared" si="89"/>
        <v>17495</v>
      </c>
    </row>
    <row r="169" spans="1:39" s="38" customFormat="1" ht="18.75" hidden="1">
      <c r="A169" s="44"/>
      <c r="B169" s="44"/>
      <c r="C169" s="45">
        <v>113</v>
      </c>
      <c r="D169" s="152" t="s">
        <v>399</v>
      </c>
      <c r="E169" s="47" t="s">
        <v>310</v>
      </c>
      <c r="F169" s="118"/>
      <c r="G169" s="118"/>
      <c r="H169" s="109">
        <f t="shared" si="95"/>
        <v>0</v>
      </c>
      <c r="I169" s="109"/>
      <c r="J169" s="109"/>
      <c r="K169" s="109">
        <f t="shared" si="96"/>
        <v>0</v>
      </c>
      <c r="L169" s="109"/>
      <c r="M169" s="109"/>
      <c r="N169" s="109">
        <f t="shared" si="97"/>
        <v>0</v>
      </c>
      <c r="O169" s="128"/>
      <c r="P169" s="109"/>
      <c r="Q169" s="109"/>
      <c r="R169" s="109">
        <f t="shared" si="98"/>
        <v>0</v>
      </c>
      <c r="S169" s="109"/>
      <c r="T169" s="109"/>
      <c r="U169" s="84">
        <f>Q169+S169+T169</f>
        <v>0</v>
      </c>
      <c r="V169" s="85"/>
      <c r="W169" s="85"/>
      <c r="X169" s="84">
        <f>T169+V169+W169</f>
        <v>0</v>
      </c>
      <c r="AI169" s="85"/>
      <c r="AJ169" s="84">
        <f>AF169+AH169+AI169</f>
        <v>0</v>
      </c>
      <c r="AK169" s="85"/>
      <c r="AL169" s="85"/>
      <c r="AM169" s="84">
        <f>AH169+AJ169+AL169</f>
        <v>0</v>
      </c>
    </row>
    <row r="170" spans="1:39" s="38" customFormat="1" ht="18.75">
      <c r="A170" s="39"/>
      <c r="B170" s="39">
        <v>262</v>
      </c>
      <c r="C170" s="40"/>
      <c r="D170" s="153" t="s">
        <v>437</v>
      </c>
      <c r="E170" s="42" t="s">
        <v>2</v>
      </c>
      <c r="F170" s="116">
        <f aca="true" t="shared" si="102" ref="F170:K170">F171+F172+F173+F174+F175+F176</f>
        <v>546488</v>
      </c>
      <c r="G170" s="116">
        <f t="shared" si="102"/>
        <v>0</v>
      </c>
      <c r="H170" s="117">
        <f t="shared" si="102"/>
        <v>546488</v>
      </c>
      <c r="I170" s="117">
        <f t="shared" si="102"/>
        <v>0</v>
      </c>
      <c r="J170" s="117">
        <f t="shared" si="102"/>
        <v>0</v>
      </c>
      <c r="K170" s="117">
        <f t="shared" si="102"/>
        <v>546488</v>
      </c>
      <c r="L170" s="117">
        <f>L171+L172+L173+L174+L175+L176</f>
        <v>21017</v>
      </c>
      <c r="M170" s="117">
        <f>M171+M172+M173+M174+M175+M176</f>
        <v>0</v>
      </c>
      <c r="N170" s="117">
        <f>N171+N172+N173+N174+N175+N176</f>
        <v>567505</v>
      </c>
      <c r="O170" s="128"/>
      <c r="P170" s="117">
        <f aca="true" t="shared" si="103" ref="P170:X170">P171+P172+P173+P174+P175+P176</f>
        <v>0</v>
      </c>
      <c r="Q170" s="117">
        <f t="shared" si="103"/>
        <v>0</v>
      </c>
      <c r="R170" s="117">
        <f t="shared" si="103"/>
        <v>567505</v>
      </c>
      <c r="S170" s="117">
        <f t="shared" si="103"/>
        <v>0</v>
      </c>
      <c r="T170" s="117">
        <f t="shared" si="103"/>
        <v>0</v>
      </c>
      <c r="U170" s="83">
        <f t="shared" si="103"/>
        <v>567505</v>
      </c>
      <c r="V170" s="83">
        <f t="shared" si="103"/>
        <v>343</v>
      </c>
      <c r="W170" s="83">
        <f t="shared" si="103"/>
        <v>-52.3</v>
      </c>
      <c r="X170" s="83">
        <f t="shared" si="103"/>
        <v>567795.7</v>
      </c>
      <c r="AI170" s="83">
        <f>AI171+AI172+AI173+AI174+AI175+AI176</f>
        <v>0</v>
      </c>
      <c r="AJ170" s="83">
        <f>AJ171+AJ172+AJ173+AJ174+AJ175+AJ176</f>
        <v>567795.7</v>
      </c>
      <c r="AK170" s="83">
        <f>AK171+AK172+AK173+AK174+AK175+AK176</f>
        <v>0</v>
      </c>
      <c r="AL170" s="83">
        <f>AL171+AL172+AL173+AL174+AL175+AL176</f>
        <v>0</v>
      </c>
      <c r="AM170" s="158">
        <f>AM171+AM172+AM173+AM174+AM175+AM176</f>
        <v>567795.7</v>
      </c>
    </row>
    <row r="171" spans="1:39" s="38" customFormat="1" ht="37.5">
      <c r="A171" s="44"/>
      <c r="B171" s="44"/>
      <c r="C171" s="45">
        <v>1</v>
      </c>
      <c r="D171" s="152" t="s">
        <v>206</v>
      </c>
      <c r="E171" s="47" t="s">
        <v>329</v>
      </c>
      <c r="F171" s="118">
        <v>30871</v>
      </c>
      <c r="G171" s="118"/>
      <c r="H171" s="109">
        <f aca="true" t="shared" si="104" ref="H171:H177">F171+G171</f>
        <v>30871</v>
      </c>
      <c r="I171" s="109"/>
      <c r="J171" s="109"/>
      <c r="K171" s="109">
        <f aca="true" t="shared" si="105" ref="K171:K177">H171+I171+J171</f>
        <v>30871</v>
      </c>
      <c r="L171" s="109">
        <f>758</f>
        <v>758</v>
      </c>
      <c r="M171" s="109"/>
      <c r="N171" s="109">
        <f aca="true" t="shared" si="106" ref="N171:N177">K171+L171+M171</f>
        <v>31629</v>
      </c>
      <c r="O171" s="128"/>
      <c r="P171" s="109"/>
      <c r="Q171" s="109"/>
      <c r="R171" s="109">
        <f t="shared" si="98"/>
        <v>31629</v>
      </c>
      <c r="S171" s="109"/>
      <c r="T171" s="109"/>
      <c r="U171" s="84">
        <f aca="true" t="shared" si="107" ref="U171:U176">Q171+R171</f>
        <v>31629</v>
      </c>
      <c r="V171" s="85"/>
      <c r="W171" s="85"/>
      <c r="X171" s="84">
        <f aca="true" t="shared" si="108" ref="X171:X176">U171+V171+W171</f>
        <v>31629</v>
      </c>
      <c r="AI171" s="85"/>
      <c r="AJ171" s="156">
        <f aca="true" t="shared" si="109" ref="AJ171:AJ176">X171+AI171</f>
        <v>31629</v>
      </c>
      <c r="AK171" s="85"/>
      <c r="AL171" s="85"/>
      <c r="AM171" s="156">
        <f aca="true" t="shared" si="110" ref="AM171:AM176">AJ171+AK171+AL171</f>
        <v>31629</v>
      </c>
    </row>
    <row r="172" spans="1:39" s="38" customFormat="1" ht="18.75">
      <c r="A172" s="44"/>
      <c r="B172" s="44"/>
      <c r="C172" s="45">
        <v>2</v>
      </c>
      <c r="D172" s="152" t="s">
        <v>352</v>
      </c>
      <c r="E172" s="47" t="s">
        <v>537</v>
      </c>
      <c r="F172" s="118">
        <v>2056</v>
      </c>
      <c r="G172" s="118"/>
      <c r="H172" s="109">
        <f t="shared" si="104"/>
        <v>2056</v>
      </c>
      <c r="I172" s="109"/>
      <c r="J172" s="109"/>
      <c r="K172" s="109">
        <f t="shared" si="105"/>
        <v>2056</v>
      </c>
      <c r="L172" s="109"/>
      <c r="M172" s="109"/>
      <c r="N172" s="109">
        <f t="shared" si="106"/>
        <v>2056</v>
      </c>
      <c r="O172" s="128"/>
      <c r="P172" s="109"/>
      <c r="Q172" s="109"/>
      <c r="R172" s="109">
        <f t="shared" si="98"/>
        <v>2056</v>
      </c>
      <c r="S172" s="109"/>
      <c r="T172" s="109"/>
      <c r="U172" s="84">
        <f t="shared" si="107"/>
        <v>2056</v>
      </c>
      <c r="V172" s="85"/>
      <c r="W172" s="85">
        <f>-52.3</f>
        <v>-52.3</v>
      </c>
      <c r="X172" s="84">
        <f t="shared" si="108"/>
        <v>2003.7</v>
      </c>
      <c r="AI172" s="85"/>
      <c r="AJ172" s="156">
        <f t="shared" si="109"/>
        <v>2003.7</v>
      </c>
      <c r="AK172" s="85"/>
      <c r="AL172" s="85"/>
      <c r="AM172" s="156">
        <f t="shared" si="110"/>
        <v>2003.7</v>
      </c>
    </row>
    <row r="173" spans="1:39" s="38" customFormat="1" ht="18.75">
      <c r="A173" s="44"/>
      <c r="B173" s="44"/>
      <c r="C173" s="45">
        <v>3</v>
      </c>
      <c r="D173" s="152" t="s">
        <v>438</v>
      </c>
      <c r="E173" s="47" t="s">
        <v>3</v>
      </c>
      <c r="F173" s="118">
        <v>140041</v>
      </c>
      <c r="G173" s="118"/>
      <c r="H173" s="109">
        <f t="shared" si="104"/>
        <v>140041</v>
      </c>
      <c r="I173" s="109"/>
      <c r="J173" s="109"/>
      <c r="K173" s="109">
        <f t="shared" si="105"/>
        <v>140041</v>
      </c>
      <c r="L173" s="109">
        <f>4013+2241</f>
        <v>6254</v>
      </c>
      <c r="M173" s="109"/>
      <c r="N173" s="109">
        <f t="shared" si="106"/>
        <v>146295</v>
      </c>
      <c r="O173" s="128"/>
      <c r="P173" s="109"/>
      <c r="Q173" s="109"/>
      <c r="R173" s="109">
        <f t="shared" si="98"/>
        <v>146295</v>
      </c>
      <c r="S173" s="109"/>
      <c r="T173" s="109"/>
      <c r="U173" s="84">
        <f t="shared" si="107"/>
        <v>146295</v>
      </c>
      <c r="V173" s="85">
        <v>343</v>
      </c>
      <c r="W173" s="85"/>
      <c r="X173" s="84">
        <f t="shared" si="108"/>
        <v>146638</v>
      </c>
      <c r="AI173" s="85"/>
      <c r="AJ173" s="156">
        <f t="shared" si="109"/>
        <v>146638</v>
      </c>
      <c r="AK173" s="85"/>
      <c r="AL173" s="85"/>
      <c r="AM173" s="156">
        <f t="shared" si="110"/>
        <v>146638</v>
      </c>
    </row>
    <row r="174" spans="1:39" s="38" customFormat="1" ht="37.5">
      <c r="A174" s="44"/>
      <c r="B174" s="44"/>
      <c r="C174" s="45">
        <v>5</v>
      </c>
      <c r="D174" s="152" t="s">
        <v>439</v>
      </c>
      <c r="E174" s="47" t="s">
        <v>4</v>
      </c>
      <c r="F174" s="118">
        <v>106013</v>
      </c>
      <c r="G174" s="118"/>
      <c r="H174" s="109">
        <f t="shared" si="104"/>
        <v>106013</v>
      </c>
      <c r="I174" s="109"/>
      <c r="J174" s="109"/>
      <c r="K174" s="109">
        <f t="shared" si="105"/>
        <v>106013</v>
      </c>
      <c r="L174" s="109">
        <f>3619</f>
        <v>3619</v>
      </c>
      <c r="M174" s="109"/>
      <c r="N174" s="109">
        <f t="shared" si="106"/>
        <v>109632</v>
      </c>
      <c r="O174" s="128"/>
      <c r="P174" s="109"/>
      <c r="Q174" s="109"/>
      <c r="R174" s="109">
        <f t="shared" si="98"/>
        <v>109632</v>
      </c>
      <c r="S174" s="109"/>
      <c r="T174" s="109"/>
      <c r="U174" s="84">
        <f t="shared" si="107"/>
        <v>109632</v>
      </c>
      <c r="V174" s="85"/>
      <c r="W174" s="85"/>
      <c r="X174" s="84">
        <f t="shared" si="108"/>
        <v>109632</v>
      </c>
      <c r="AI174" s="85"/>
      <c r="AJ174" s="156">
        <f t="shared" si="109"/>
        <v>109632</v>
      </c>
      <c r="AK174" s="85"/>
      <c r="AL174" s="85"/>
      <c r="AM174" s="156">
        <f t="shared" si="110"/>
        <v>109632</v>
      </c>
    </row>
    <row r="175" spans="1:39" s="38" customFormat="1" ht="18.75">
      <c r="A175" s="44"/>
      <c r="B175" s="44"/>
      <c r="C175" s="45">
        <v>7</v>
      </c>
      <c r="D175" s="152" t="s">
        <v>440</v>
      </c>
      <c r="E175" s="47" t="s">
        <v>5</v>
      </c>
      <c r="F175" s="118">
        <v>220043</v>
      </c>
      <c r="G175" s="118"/>
      <c r="H175" s="109">
        <f t="shared" si="104"/>
        <v>220043</v>
      </c>
      <c r="I175" s="109"/>
      <c r="J175" s="109"/>
      <c r="K175" s="109">
        <f t="shared" si="105"/>
        <v>220043</v>
      </c>
      <c r="L175" s="109">
        <f>8664</f>
        <v>8664</v>
      </c>
      <c r="M175" s="109"/>
      <c r="N175" s="109">
        <f t="shared" si="106"/>
        <v>228707</v>
      </c>
      <c r="O175" s="128"/>
      <c r="P175" s="109"/>
      <c r="Q175" s="109"/>
      <c r="R175" s="109">
        <f t="shared" si="98"/>
        <v>228707</v>
      </c>
      <c r="S175" s="109"/>
      <c r="T175" s="109"/>
      <c r="U175" s="84">
        <f t="shared" si="107"/>
        <v>228707</v>
      </c>
      <c r="V175" s="85"/>
      <c r="W175" s="85"/>
      <c r="X175" s="84">
        <f t="shared" si="108"/>
        <v>228707</v>
      </c>
      <c r="AI175" s="85"/>
      <c r="AJ175" s="156">
        <f t="shared" si="109"/>
        <v>228707</v>
      </c>
      <c r="AK175" s="85"/>
      <c r="AL175" s="85"/>
      <c r="AM175" s="156">
        <f t="shared" si="110"/>
        <v>228707</v>
      </c>
    </row>
    <row r="176" spans="1:39" s="38" customFormat="1" ht="18.75">
      <c r="A176" s="44"/>
      <c r="B176" s="44"/>
      <c r="C176" s="45">
        <v>8</v>
      </c>
      <c r="D176" s="152" t="s">
        <v>441</v>
      </c>
      <c r="E176" s="47" t="s">
        <v>6</v>
      </c>
      <c r="F176" s="118">
        <v>47464</v>
      </c>
      <c r="G176" s="118"/>
      <c r="H176" s="109">
        <f t="shared" si="104"/>
        <v>47464</v>
      </c>
      <c r="I176" s="109"/>
      <c r="J176" s="109"/>
      <c r="K176" s="109">
        <f t="shared" si="105"/>
        <v>47464</v>
      </c>
      <c r="L176" s="109">
        <f>1722</f>
        <v>1722</v>
      </c>
      <c r="M176" s="109"/>
      <c r="N176" s="109">
        <f t="shared" si="106"/>
        <v>49186</v>
      </c>
      <c r="O176" s="128"/>
      <c r="P176" s="109"/>
      <c r="Q176" s="109"/>
      <c r="R176" s="109">
        <f t="shared" si="98"/>
        <v>49186</v>
      </c>
      <c r="S176" s="109"/>
      <c r="T176" s="109"/>
      <c r="U176" s="84">
        <f t="shared" si="107"/>
        <v>49186</v>
      </c>
      <c r="V176" s="85"/>
      <c r="W176" s="85"/>
      <c r="X176" s="84">
        <f t="shared" si="108"/>
        <v>49186</v>
      </c>
      <c r="AI176" s="85"/>
      <c r="AJ176" s="156">
        <f t="shared" si="109"/>
        <v>49186</v>
      </c>
      <c r="AK176" s="85"/>
      <c r="AL176" s="85"/>
      <c r="AM176" s="156">
        <f t="shared" si="110"/>
        <v>49186</v>
      </c>
    </row>
    <row r="177" spans="1:39" s="38" customFormat="1" ht="18.75" hidden="1">
      <c r="A177" s="44"/>
      <c r="B177" s="44"/>
      <c r="C177" s="45">
        <v>12</v>
      </c>
      <c r="D177" s="152" t="s">
        <v>353</v>
      </c>
      <c r="E177" s="47" t="s">
        <v>296</v>
      </c>
      <c r="F177" s="118"/>
      <c r="G177" s="118"/>
      <c r="H177" s="109">
        <f t="shared" si="104"/>
        <v>0</v>
      </c>
      <c r="I177" s="109"/>
      <c r="J177" s="109"/>
      <c r="K177" s="109">
        <f t="shared" si="105"/>
        <v>0</v>
      </c>
      <c r="L177" s="109"/>
      <c r="M177" s="109"/>
      <c r="N177" s="109">
        <f t="shared" si="106"/>
        <v>0</v>
      </c>
      <c r="O177" s="128"/>
      <c r="P177" s="109"/>
      <c r="Q177" s="109"/>
      <c r="R177" s="109">
        <f>O177+P177+Q177</f>
        <v>0</v>
      </c>
      <c r="S177" s="109"/>
      <c r="T177" s="109"/>
      <c r="U177" s="85">
        <f>R177+S177+T177</f>
        <v>0</v>
      </c>
      <c r="V177" s="85"/>
      <c r="W177" s="85"/>
      <c r="X177" s="85">
        <f>U177+V177+W177</f>
        <v>0</v>
      </c>
      <c r="AI177" s="85"/>
      <c r="AJ177" s="85">
        <f>AG177+AH177+AI177</f>
        <v>0</v>
      </c>
      <c r="AK177" s="85"/>
      <c r="AL177" s="85"/>
      <c r="AM177" s="85">
        <f>AI177+AJ177+AL177</f>
        <v>0</v>
      </c>
    </row>
    <row r="178" spans="1:39" s="38" customFormat="1" ht="18.75">
      <c r="A178" s="39"/>
      <c r="B178" s="39">
        <v>263</v>
      </c>
      <c r="C178" s="40"/>
      <c r="D178" s="40" t="s">
        <v>442</v>
      </c>
      <c r="E178" s="42" t="s">
        <v>7</v>
      </c>
      <c r="F178" s="116">
        <f aca="true" t="shared" si="111" ref="F178:K178">F179+F180+F181+F182+F183</f>
        <v>340547</v>
      </c>
      <c r="G178" s="116">
        <f t="shared" si="111"/>
        <v>0</v>
      </c>
      <c r="H178" s="117">
        <f t="shared" si="111"/>
        <v>340547</v>
      </c>
      <c r="I178" s="117">
        <f t="shared" si="111"/>
        <v>0</v>
      </c>
      <c r="J178" s="117">
        <f t="shared" si="111"/>
        <v>0</v>
      </c>
      <c r="K178" s="117">
        <f t="shared" si="111"/>
        <v>340547</v>
      </c>
      <c r="L178" s="117">
        <f>L179+L180+L181+L182+L183</f>
        <v>15645</v>
      </c>
      <c r="M178" s="117">
        <f>M179+M180+M181+M182+M183</f>
        <v>0</v>
      </c>
      <c r="N178" s="117">
        <f>N179+N180+N181+N182+N183</f>
        <v>356192</v>
      </c>
      <c r="O178" s="128"/>
      <c r="P178" s="117">
        <f aca="true" t="shared" si="112" ref="P178:X178">P179+P180+P181+P182+P183</f>
        <v>0</v>
      </c>
      <c r="Q178" s="117">
        <f t="shared" si="112"/>
        <v>0</v>
      </c>
      <c r="R178" s="117">
        <f t="shared" si="112"/>
        <v>356192</v>
      </c>
      <c r="S178" s="117">
        <f t="shared" si="112"/>
        <v>0</v>
      </c>
      <c r="T178" s="117">
        <f t="shared" si="112"/>
        <v>0</v>
      </c>
      <c r="U178" s="83">
        <f t="shared" si="112"/>
        <v>356192</v>
      </c>
      <c r="V178" s="83">
        <f t="shared" si="112"/>
        <v>12704.4</v>
      </c>
      <c r="W178" s="83">
        <f t="shared" si="112"/>
        <v>0</v>
      </c>
      <c r="X178" s="83">
        <f t="shared" si="112"/>
        <v>368896.4</v>
      </c>
      <c r="AI178" s="83">
        <f>AI179+AI180+AI181+AI182+AI183</f>
        <v>0</v>
      </c>
      <c r="AJ178" s="83">
        <f>AJ179+AJ180+AJ181+AJ182+AJ183</f>
        <v>368896.4</v>
      </c>
      <c r="AK178" s="83">
        <f>AK179+AK180+AK181+AK182+AK183</f>
        <v>0</v>
      </c>
      <c r="AL178" s="83">
        <f>AL179+AL180+AL181+AL182+AL183</f>
        <v>0</v>
      </c>
      <c r="AM178" s="83">
        <f>AM179+AM180+AM181+AM182+AM183</f>
        <v>368896.4</v>
      </c>
    </row>
    <row r="179" spans="1:39" s="38" customFormat="1" ht="37.5">
      <c r="A179" s="44"/>
      <c r="B179" s="44"/>
      <c r="C179" s="45">
        <v>1</v>
      </c>
      <c r="D179" s="152" t="s">
        <v>443</v>
      </c>
      <c r="E179" s="47" t="s">
        <v>330</v>
      </c>
      <c r="F179" s="118">
        <v>50399</v>
      </c>
      <c r="G179" s="118"/>
      <c r="H179" s="109">
        <f>F179+G179</f>
        <v>50399</v>
      </c>
      <c r="I179" s="109"/>
      <c r="J179" s="109"/>
      <c r="K179" s="109">
        <f>H179+I179+J179</f>
        <v>50399</v>
      </c>
      <c r="L179" s="109">
        <f>918</f>
        <v>918</v>
      </c>
      <c r="M179" s="109"/>
      <c r="N179" s="109">
        <f>K179+L179+M179</f>
        <v>51317</v>
      </c>
      <c r="O179" s="128"/>
      <c r="P179" s="109"/>
      <c r="Q179" s="109"/>
      <c r="R179" s="109">
        <f aca="true" t="shared" si="113" ref="R179:R190">N179+P179+Q179</f>
        <v>51317</v>
      </c>
      <c r="S179" s="109"/>
      <c r="T179" s="109"/>
      <c r="U179" s="84">
        <f aca="true" t="shared" si="114" ref="U179:U190">Q179+R179</f>
        <v>51317</v>
      </c>
      <c r="V179" s="85">
        <f>408+4535-500</f>
        <v>4443</v>
      </c>
      <c r="W179" s="85"/>
      <c r="X179" s="84">
        <f aca="true" t="shared" si="115" ref="X179:X190">U179+V179+W179</f>
        <v>55760</v>
      </c>
      <c r="AI179" s="85"/>
      <c r="AJ179" s="156">
        <f aca="true" t="shared" si="116" ref="AJ179:AJ190">X179+AI179</f>
        <v>55760</v>
      </c>
      <c r="AK179" s="85"/>
      <c r="AL179" s="85"/>
      <c r="AM179" s="156">
        <f aca="true" t="shared" si="117" ref="AM179:AM190">AJ179+AK179+AL179</f>
        <v>55760</v>
      </c>
    </row>
    <row r="180" spans="1:39" s="38" customFormat="1" ht="18.75">
      <c r="A180" s="44"/>
      <c r="B180" s="44"/>
      <c r="C180" s="45">
        <v>3</v>
      </c>
      <c r="D180" s="47" t="s">
        <v>444</v>
      </c>
      <c r="E180" s="47" t="s">
        <v>8</v>
      </c>
      <c r="F180" s="118">
        <v>10372</v>
      </c>
      <c r="G180" s="118"/>
      <c r="H180" s="109">
        <f>F180+G180</f>
        <v>10372</v>
      </c>
      <c r="I180" s="109"/>
      <c r="J180" s="109"/>
      <c r="K180" s="109">
        <f>H180+I180+J180</f>
        <v>10372</v>
      </c>
      <c r="L180" s="109"/>
      <c r="M180" s="109"/>
      <c r="N180" s="109">
        <f>K180+L180+M180</f>
        <v>10372</v>
      </c>
      <c r="O180" s="128"/>
      <c r="P180" s="109"/>
      <c r="Q180" s="109"/>
      <c r="R180" s="109">
        <f t="shared" si="113"/>
        <v>10372</v>
      </c>
      <c r="S180" s="109"/>
      <c r="T180" s="109"/>
      <c r="U180" s="84">
        <f t="shared" si="114"/>
        <v>10372</v>
      </c>
      <c r="V180" s="85">
        <f>500</f>
        <v>500</v>
      </c>
      <c r="W180" s="85"/>
      <c r="X180" s="84">
        <f t="shared" si="115"/>
        <v>10872</v>
      </c>
      <c r="AI180" s="85"/>
      <c r="AJ180" s="156">
        <f t="shared" si="116"/>
        <v>10872</v>
      </c>
      <c r="AK180" s="85"/>
      <c r="AL180" s="85"/>
      <c r="AM180" s="156">
        <f t="shared" si="117"/>
        <v>10872</v>
      </c>
    </row>
    <row r="181" spans="1:39" s="38" customFormat="1" ht="18.75">
      <c r="A181" s="44"/>
      <c r="B181" s="44"/>
      <c r="C181" s="45">
        <v>4</v>
      </c>
      <c r="D181" s="152" t="s">
        <v>352</v>
      </c>
      <c r="E181" s="47" t="s">
        <v>537</v>
      </c>
      <c r="F181" s="118">
        <v>2185</v>
      </c>
      <c r="G181" s="118"/>
      <c r="H181" s="109">
        <f>F181+G181</f>
        <v>2185</v>
      </c>
      <c r="I181" s="109"/>
      <c r="J181" s="109"/>
      <c r="K181" s="109">
        <f>H181+I181+J181</f>
        <v>2185</v>
      </c>
      <c r="L181" s="109"/>
      <c r="M181" s="109"/>
      <c r="N181" s="109">
        <f>K181+L181+M181</f>
        <v>2185</v>
      </c>
      <c r="O181" s="128"/>
      <c r="P181" s="109"/>
      <c r="Q181" s="109"/>
      <c r="R181" s="109">
        <f t="shared" si="113"/>
        <v>2185</v>
      </c>
      <c r="S181" s="109"/>
      <c r="T181" s="109"/>
      <c r="U181" s="84">
        <f t="shared" si="114"/>
        <v>2185</v>
      </c>
      <c r="V181" s="85"/>
      <c r="W181" s="85"/>
      <c r="X181" s="84">
        <f t="shared" si="115"/>
        <v>2185</v>
      </c>
      <c r="AI181" s="85"/>
      <c r="AJ181" s="156">
        <f t="shared" si="116"/>
        <v>2185</v>
      </c>
      <c r="AK181" s="85"/>
      <c r="AL181" s="85"/>
      <c r="AM181" s="156">
        <f t="shared" si="117"/>
        <v>2185</v>
      </c>
    </row>
    <row r="182" spans="1:39" s="38" customFormat="1" ht="37.5">
      <c r="A182" s="44"/>
      <c r="B182" s="44"/>
      <c r="C182" s="45">
        <v>7</v>
      </c>
      <c r="D182" s="47" t="s">
        <v>145</v>
      </c>
      <c r="E182" s="47" t="s">
        <v>360</v>
      </c>
      <c r="F182" s="118">
        <v>120129</v>
      </c>
      <c r="G182" s="118"/>
      <c r="H182" s="109">
        <f>F182+G182</f>
        <v>120129</v>
      </c>
      <c r="I182" s="109"/>
      <c r="J182" s="109"/>
      <c r="K182" s="109">
        <f>H182+I182+J182</f>
        <v>120129</v>
      </c>
      <c r="L182" s="109"/>
      <c r="M182" s="109"/>
      <c r="N182" s="109">
        <f>K182+L182+M182</f>
        <v>120129</v>
      </c>
      <c r="O182" s="128"/>
      <c r="P182" s="109"/>
      <c r="Q182" s="109"/>
      <c r="R182" s="109">
        <f t="shared" si="113"/>
        <v>120129</v>
      </c>
      <c r="S182" s="109"/>
      <c r="T182" s="109"/>
      <c r="U182" s="84">
        <f t="shared" si="114"/>
        <v>120129</v>
      </c>
      <c r="V182" s="85">
        <f>7000</f>
        <v>7000</v>
      </c>
      <c r="W182" s="85"/>
      <c r="X182" s="84">
        <f t="shared" si="115"/>
        <v>127129</v>
      </c>
      <c r="AI182" s="85"/>
      <c r="AJ182" s="156">
        <f t="shared" si="116"/>
        <v>127129</v>
      </c>
      <c r="AK182" s="85"/>
      <c r="AL182" s="85"/>
      <c r="AM182" s="156">
        <f t="shared" si="117"/>
        <v>127129</v>
      </c>
    </row>
    <row r="183" spans="1:39" s="38" customFormat="1" ht="37.5">
      <c r="A183" s="44"/>
      <c r="B183" s="44"/>
      <c r="C183" s="45">
        <v>8</v>
      </c>
      <c r="D183" s="47" t="s">
        <v>146</v>
      </c>
      <c r="E183" s="47" t="s">
        <v>361</v>
      </c>
      <c r="F183" s="118">
        <v>157462</v>
      </c>
      <c r="G183" s="118"/>
      <c r="H183" s="109">
        <f>F183+G183</f>
        <v>157462</v>
      </c>
      <c r="I183" s="109"/>
      <c r="J183" s="109"/>
      <c r="K183" s="109">
        <f>H183+I183+J183</f>
        <v>157462</v>
      </c>
      <c r="L183" s="109">
        <f>6727+12739-12739+8000</f>
        <v>14727</v>
      </c>
      <c r="M183" s="109"/>
      <c r="N183" s="109">
        <f>K183+L183+M183</f>
        <v>172189</v>
      </c>
      <c r="O183" s="128"/>
      <c r="P183" s="109"/>
      <c r="Q183" s="109"/>
      <c r="R183" s="109">
        <f t="shared" si="113"/>
        <v>172189</v>
      </c>
      <c r="S183" s="109"/>
      <c r="T183" s="109"/>
      <c r="U183" s="84">
        <f t="shared" si="114"/>
        <v>172189</v>
      </c>
      <c r="V183" s="84">
        <v>761.4</v>
      </c>
      <c r="W183" s="85"/>
      <c r="X183" s="84">
        <f t="shared" si="115"/>
        <v>172950.4</v>
      </c>
      <c r="AI183" s="84"/>
      <c r="AJ183" s="156">
        <f t="shared" si="116"/>
        <v>172950.4</v>
      </c>
      <c r="AK183" s="84"/>
      <c r="AL183" s="84"/>
      <c r="AM183" s="156">
        <f t="shared" si="117"/>
        <v>172950.4</v>
      </c>
    </row>
    <row r="184" spans="1:39" s="38" customFormat="1" ht="18.75">
      <c r="A184" s="39"/>
      <c r="B184" s="39">
        <v>264</v>
      </c>
      <c r="C184" s="40"/>
      <c r="D184" s="40" t="s">
        <v>445</v>
      </c>
      <c r="E184" s="42" t="s">
        <v>9</v>
      </c>
      <c r="F184" s="116">
        <f aca="true" t="shared" si="118" ref="F184:K184">F185+F186+F187+F188</f>
        <v>52404</v>
      </c>
      <c r="G184" s="116">
        <f t="shared" si="118"/>
        <v>0</v>
      </c>
      <c r="H184" s="117">
        <f t="shared" si="118"/>
        <v>52404</v>
      </c>
      <c r="I184" s="117">
        <f t="shared" si="118"/>
        <v>0</v>
      </c>
      <c r="J184" s="117">
        <f t="shared" si="118"/>
        <v>0</v>
      </c>
      <c r="K184" s="117">
        <f t="shared" si="118"/>
        <v>52404</v>
      </c>
      <c r="L184" s="117">
        <f>L185+L186+L187+L188</f>
        <v>1167</v>
      </c>
      <c r="M184" s="117">
        <f>M185+M186+M187+M188</f>
        <v>0</v>
      </c>
      <c r="N184" s="117">
        <f>N185+N186+N187+N188</f>
        <v>53571</v>
      </c>
      <c r="O184" s="128"/>
      <c r="P184" s="117">
        <f aca="true" t="shared" si="119" ref="P184:X184">P185+P186+P187+P188</f>
        <v>0</v>
      </c>
      <c r="Q184" s="117">
        <f t="shared" si="119"/>
        <v>0</v>
      </c>
      <c r="R184" s="117">
        <f t="shared" si="119"/>
        <v>53571</v>
      </c>
      <c r="S184" s="117">
        <f t="shared" si="119"/>
        <v>0</v>
      </c>
      <c r="T184" s="117">
        <f t="shared" si="119"/>
        <v>0</v>
      </c>
      <c r="U184" s="83">
        <f t="shared" si="119"/>
        <v>53571</v>
      </c>
      <c r="V184" s="83">
        <f t="shared" si="119"/>
        <v>0</v>
      </c>
      <c r="W184" s="83">
        <f t="shared" si="119"/>
        <v>-50</v>
      </c>
      <c r="X184" s="83">
        <f t="shared" si="119"/>
        <v>53521</v>
      </c>
      <c r="AI184" s="83">
        <f>AI185+AI186+AI187+AI188</f>
        <v>0</v>
      </c>
      <c r="AJ184" s="83">
        <f>AJ185+AJ186+AJ187+AJ188</f>
        <v>53521</v>
      </c>
      <c r="AK184" s="83">
        <f>AK185+AK186+AK187+AK188</f>
        <v>0</v>
      </c>
      <c r="AL184" s="83">
        <f>AL185+AL186+AL187+AL188</f>
        <v>0</v>
      </c>
      <c r="AM184" s="83">
        <f>AM185+AM186+AM187+AM188</f>
        <v>53521</v>
      </c>
    </row>
    <row r="185" spans="1:39" s="38" customFormat="1" ht="37.5">
      <c r="A185" s="44"/>
      <c r="B185" s="44"/>
      <c r="C185" s="45">
        <v>1</v>
      </c>
      <c r="D185" s="152" t="s">
        <v>446</v>
      </c>
      <c r="E185" s="47" t="s">
        <v>331</v>
      </c>
      <c r="F185" s="118">
        <v>25368</v>
      </c>
      <c r="G185" s="118"/>
      <c r="H185" s="109">
        <f>F185+G185</f>
        <v>25368</v>
      </c>
      <c r="I185" s="109"/>
      <c r="J185" s="109"/>
      <c r="K185" s="109">
        <f>H185+I185+J185</f>
        <v>25368</v>
      </c>
      <c r="L185" s="109">
        <f>486</f>
        <v>486</v>
      </c>
      <c r="M185" s="109"/>
      <c r="N185" s="109">
        <f>K185+L185+M185</f>
        <v>25854</v>
      </c>
      <c r="O185" s="128"/>
      <c r="P185" s="109"/>
      <c r="Q185" s="109"/>
      <c r="R185" s="109">
        <f t="shared" si="113"/>
        <v>25854</v>
      </c>
      <c r="S185" s="109"/>
      <c r="T185" s="109"/>
      <c r="U185" s="84">
        <f t="shared" si="114"/>
        <v>25854</v>
      </c>
      <c r="V185" s="85"/>
      <c r="W185" s="85">
        <f>-50</f>
        <v>-50</v>
      </c>
      <c r="X185" s="84">
        <f t="shared" si="115"/>
        <v>25804</v>
      </c>
      <c r="AI185" s="85"/>
      <c r="AJ185" s="156">
        <f t="shared" si="116"/>
        <v>25804</v>
      </c>
      <c r="AK185" s="85"/>
      <c r="AL185" s="85"/>
      <c r="AM185" s="156">
        <f t="shared" si="117"/>
        <v>25804</v>
      </c>
    </row>
    <row r="186" spans="1:39" s="38" customFormat="1" ht="18.75">
      <c r="A186" s="44"/>
      <c r="B186" s="44"/>
      <c r="C186" s="45">
        <v>2</v>
      </c>
      <c r="D186" s="152" t="s">
        <v>447</v>
      </c>
      <c r="E186" s="47" t="s">
        <v>10</v>
      </c>
      <c r="F186" s="118">
        <v>25179</v>
      </c>
      <c r="G186" s="118"/>
      <c r="H186" s="109">
        <f>F186+G186</f>
        <v>25179</v>
      </c>
      <c r="I186" s="109"/>
      <c r="J186" s="109"/>
      <c r="K186" s="109">
        <f>H186+I186+J186</f>
        <v>25179</v>
      </c>
      <c r="L186" s="109">
        <f>681</f>
        <v>681</v>
      </c>
      <c r="M186" s="109"/>
      <c r="N186" s="109">
        <f>K186+L186+M186</f>
        <v>25860</v>
      </c>
      <c r="O186" s="128"/>
      <c r="P186" s="109"/>
      <c r="Q186" s="109"/>
      <c r="R186" s="109">
        <f t="shared" si="113"/>
        <v>25860</v>
      </c>
      <c r="S186" s="109"/>
      <c r="T186" s="109"/>
      <c r="U186" s="84">
        <f t="shared" si="114"/>
        <v>25860</v>
      </c>
      <c r="V186" s="85"/>
      <c r="W186" s="85"/>
      <c r="X186" s="84">
        <f t="shared" si="115"/>
        <v>25860</v>
      </c>
      <c r="AI186" s="85"/>
      <c r="AJ186" s="156">
        <f t="shared" si="116"/>
        <v>25860</v>
      </c>
      <c r="AK186" s="85"/>
      <c r="AL186" s="85"/>
      <c r="AM186" s="156">
        <f t="shared" si="117"/>
        <v>25860</v>
      </c>
    </row>
    <row r="187" spans="1:39" s="38" customFormat="1" ht="18.75" hidden="1">
      <c r="A187" s="44"/>
      <c r="B187" s="44"/>
      <c r="C187" s="45">
        <v>4</v>
      </c>
      <c r="D187" s="152" t="s">
        <v>353</v>
      </c>
      <c r="E187" s="47" t="s">
        <v>296</v>
      </c>
      <c r="F187" s="118"/>
      <c r="G187" s="118"/>
      <c r="H187" s="109">
        <f>F187+G187</f>
        <v>0</v>
      </c>
      <c r="I187" s="109"/>
      <c r="J187" s="109"/>
      <c r="K187" s="109">
        <f>H187+I187+J187</f>
        <v>0</v>
      </c>
      <c r="L187" s="109"/>
      <c r="M187" s="109"/>
      <c r="N187" s="109">
        <f>K187+L187+M187</f>
        <v>0</v>
      </c>
      <c r="O187" s="128"/>
      <c r="P187" s="109"/>
      <c r="Q187" s="109"/>
      <c r="R187" s="109">
        <f t="shared" si="113"/>
        <v>0</v>
      </c>
      <c r="S187" s="109"/>
      <c r="T187" s="109"/>
      <c r="U187" s="84">
        <f t="shared" si="114"/>
        <v>0</v>
      </c>
      <c r="V187" s="85"/>
      <c r="W187" s="85"/>
      <c r="X187" s="84">
        <f t="shared" si="115"/>
        <v>0</v>
      </c>
      <c r="AI187" s="85"/>
      <c r="AJ187" s="156">
        <f t="shared" si="116"/>
        <v>0</v>
      </c>
      <c r="AK187" s="85"/>
      <c r="AL187" s="85"/>
      <c r="AM187" s="156">
        <f t="shared" si="117"/>
        <v>0</v>
      </c>
    </row>
    <row r="188" spans="1:39" s="38" customFormat="1" ht="18.75">
      <c r="A188" s="44"/>
      <c r="B188" s="44"/>
      <c r="C188" s="45">
        <v>7</v>
      </c>
      <c r="D188" s="152" t="s">
        <v>352</v>
      </c>
      <c r="E188" s="47" t="s">
        <v>537</v>
      </c>
      <c r="F188" s="118">
        <v>1857</v>
      </c>
      <c r="G188" s="118"/>
      <c r="H188" s="109">
        <f>F188+G188</f>
        <v>1857</v>
      </c>
      <c r="I188" s="109"/>
      <c r="J188" s="109"/>
      <c r="K188" s="109">
        <f>H188+I188+J188</f>
        <v>1857</v>
      </c>
      <c r="L188" s="109"/>
      <c r="M188" s="109"/>
      <c r="N188" s="109">
        <f>K188+L188+M188</f>
        <v>1857</v>
      </c>
      <c r="O188" s="128"/>
      <c r="P188" s="109"/>
      <c r="Q188" s="109"/>
      <c r="R188" s="109">
        <f t="shared" si="113"/>
        <v>1857</v>
      </c>
      <c r="S188" s="109"/>
      <c r="T188" s="109"/>
      <c r="U188" s="84">
        <f t="shared" si="114"/>
        <v>1857</v>
      </c>
      <c r="V188" s="85"/>
      <c r="W188" s="85"/>
      <c r="X188" s="84">
        <f t="shared" si="115"/>
        <v>1857</v>
      </c>
      <c r="AI188" s="85"/>
      <c r="AJ188" s="156">
        <f t="shared" si="116"/>
        <v>1857</v>
      </c>
      <c r="AK188" s="85"/>
      <c r="AL188" s="85"/>
      <c r="AM188" s="156">
        <f t="shared" si="117"/>
        <v>1857</v>
      </c>
    </row>
    <row r="189" spans="1:39" s="38" customFormat="1" ht="18.75">
      <c r="A189" s="39"/>
      <c r="B189" s="39">
        <v>271</v>
      </c>
      <c r="C189" s="40"/>
      <c r="D189" s="40" t="s">
        <v>401</v>
      </c>
      <c r="E189" s="42" t="s">
        <v>560</v>
      </c>
      <c r="F189" s="116">
        <f aca="true" t="shared" si="120" ref="F189:X189">F190</f>
        <v>222838</v>
      </c>
      <c r="G189" s="116">
        <f t="shared" si="120"/>
        <v>0</v>
      </c>
      <c r="H189" s="117">
        <f t="shared" si="120"/>
        <v>222838</v>
      </c>
      <c r="I189" s="117">
        <f t="shared" si="120"/>
        <v>0</v>
      </c>
      <c r="J189" s="117">
        <f t="shared" si="120"/>
        <v>0</v>
      </c>
      <c r="K189" s="117">
        <f t="shared" si="120"/>
        <v>222838</v>
      </c>
      <c r="L189" s="117">
        <f t="shared" si="120"/>
        <v>3058.1</v>
      </c>
      <c r="M189" s="117">
        <f t="shared" si="120"/>
        <v>0</v>
      </c>
      <c r="N189" s="117">
        <f t="shared" si="120"/>
        <v>225896.1</v>
      </c>
      <c r="O189" s="128"/>
      <c r="P189" s="117">
        <f t="shared" si="120"/>
        <v>0</v>
      </c>
      <c r="Q189" s="117">
        <f t="shared" si="120"/>
        <v>0</v>
      </c>
      <c r="R189" s="117">
        <f t="shared" si="120"/>
        <v>225896.1</v>
      </c>
      <c r="S189" s="117">
        <f t="shared" si="120"/>
        <v>0</v>
      </c>
      <c r="T189" s="117">
        <f t="shared" si="120"/>
        <v>0</v>
      </c>
      <c r="U189" s="83">
        <f t="shared" si="120"/>
        <v>225896.1</v>
      </c>
      <c r="V189" s="83">
        <f t="shared" si="120"/>
        <v>0</v>
      </c>
      <c r="W189" s="83">
        <f t="shared" si="120"/>
        <v>-810</v>
      </c>
      <c r="X189" s="83">
        <f t="shared" si="120"/>
        <v>225086.1</v>
      </c>
      <c r="AI189" s="83">
        <f>AI190</f>
        <v>0</v>
      </c>
      <c r="AJ189" s="83">
        <f>AJ190</f>
        <v>225086.1</v>
      </c>
      <c r="AK189" s="83">
        <f>AK190</f>
        <v>0</v>
      </c>
      <c r="AL189" s="83">
        <f>AL190</f>
        <v>0</v>
      </c>
      <c r="AM189" s="83">
        <f>AM190</f>
        <v>225086.1</v>
      </c>
    </row>
    <row r="190" spans="1:39" s="38" customFormat="1" ht="18.75">
      <c r="A190" s="44"/>
      <c r="B190" s="44"/>
      <c r="C190" s="45">
        <v>16</v>
      </c>
      <c r="D190" s="45" t="s">
        <v>448</v>
      </c>
      <c r="E190" s="47" t="s">
        <v>11</v>
      </c>
      <c r="F190" s="118">
        <v>222838</v>
      </c>
      <c r="G190" s="118"/>
      <c r="H190" s="109">
        <f>F190+G190</f>
        <v>222838</v>
      </c>
      <c r="I190" s="109"/>
      <c r="J190" s="109"/>
      <c r="K190" s="109">
        <f>H190+I190+J190</f>
        <v>222838</v>
      </c>
      <c r="L190" s="109">
        <v>3058.1</v>
      </c>
      <c r="M190" s="109"/>
      <c r="N190" s="109">
        <f>K190+L190+M190</f>
        <v>225896.1</v>
      </c>
      <c r="O190" s="128"/>
      <c r="P190" s="109"/>
      <c r="Q190" s="109"/>
      <c r="R190" s="109">
        <f t="shared" si="113"/>
        <v>225896.1</v>
      </c>
      <c r="S190" s="109"/>
      <c r="T190" s="109"/>
      <c r="U190" s="84">
        <f t="shared" si="114"/>
        <v>225896.1</v>
      </c>
      <c r="V190" s="84"/>
      <c r="W190" s="85">
        <f>-810</f>
        <v>-810</v>
      </c>
      <c r="X190" s="84">
        <f t="shared" si="115"/>
        <v>225086.1</v>
      </c>
      <c r="AI190" s="84"/>
      <c r="AJ190" s="156">
        <f t="shared" si="116"/>
        <v>225086.1</v>
      </c>
      <c r="AK190" s="84"/>
      <c r="AL190" s="84"/>
      <c r="AM190" s="156">
        <f t="shared" si="117"/>
        <v>225086.1</v>
      </c>
    </row>
    <row r="191" spans="1:39" s="38" customFormat="1" ht="18.75">
      <c r="A191" s="34">
        <v>9</v>
      </c>
      <c r="B191" s="34"/>
      <c r="C191" s="35"/>
      <c r="D191" s="165" t="s">
        <v>473</v>
      </c>
      <c r="E191" s="37" t="s">
        <v>472</v>
      </c>
      <c r="F191" s="116">
        <f aca="true" t="shared" si="121" ref="F191:X192">F192</f>
        <v>0</v>
      </c>
      <c r="G191" s="116">
        <f t="shared" si="121"/>
        <v>1915000</v>
      </c>
      <c r="H191" s="117">
        <f t="shared" si="121"/>
        <v>1915000</v>
      </c>
      <c r="I191" s="117">
        <f t="shared" si="121"/>
        <v>0</v>
      </c>
      <c r="J191" s="117">
        <f t="shared" si="121"/>
        <v>0</v>
      </c>
      <c r="K191" s="117">
        <f t="shared" si="121"/>
        <v>1915000</v>
      </c>
      <c r="L191" s="117">
        <f t="shared" si="121"/>
        <v>0</v>
      </c>
      <c r="M191" s="117">
        <f t="shared" si="121"/>
        <v>0</v>
      </c>
      <c r="N191" s="117">
        <f t="shared" si="121"/>
        <v>1915000</v>
      </c>
      <c r="O191" s="128"/>
      <c r="P191" s="117">
        <f t="shared" si="121"/>
        <v>0</v>
      </c>
      <c r="Q191" s="117">
        <f t="shared" si="121"/>
        <v>0</v>
      </c>
      <c r="R191" s="117">
        <f t="shared" si="121"/>
        <v>1915000</v>
      </c>
      <c r="S191" s="117">
        <f t="shared" si="121"/>
        <v>0</v>
      </c>
      <c r="T191" s="117">
        <f t="shared" si="121"/>
        <v>0</v>
      </c>
      <c r="U191" s="82">
        <f t="shared" si="121"/>
        <v>1915000</v>
      </c>
      <c r="V191" s="82">
        <f t="shared" si="121"/>
        <v>0</v>
      </c>
      <c r="W191" s="82">
        <f t="shared" si="121"/>
        <v>0</v>
      </c>
      <c r="X191" s="82">
        <f t="shared" si="121"/>
        <v>1915000</v>
      </c>
      <c r="AI191" s="82">
        <f aca="true" t="shared" si="122" ref="AI191:AM192">AI192</f>
        <v>0</v>
      </c>
      <c r="AJ191" s="82">
        <f t="shared" si="122"/>
        <v>1915000</v>
      </c>
      <c r="AK191" s="82">
        <f t="shared" si="122"/>
        <v>0</v>
      </c>
      <c r="AL191" s="82">
        <f t="shared" si="122"/>
        <v>0</v>
      </c>
      <c r="AM191" s="82">
        <f t="shared" si="122"/>
        <v>1915000</v>
      </c>
    </row>
    <row r="192" spans="1:39" s="38" customFormat="1" ht="37.5">
      <c r="A192" s="39"/>
      <c r="B192" s="39">
        <v>279</v>
      </c>
      <c r="C192" s="40"/>
      <c r="D192" s="153" t="s">
        <v>423</v>
      </c>
      <c r="E192" s="42" t="s">
        <v>594</v>
      </c>
      <c r="F192" s="116">
        <f t="shared" si="121"/>
        <v>0</v>
      </c>
      <c r="G192" s="116">
        <f t="shared" si="121"/>
        <v>1915000</v>
      </c>
      <c r="H192" s="117">
        <f t="shared" si="121"/>
        <v>1915000</v>
      </c>
      <c r="I192" s="117">
        <f t="shared" si="121"/>
        <v>0</v>
      </c>
      <c r="J192" s="117">
        <f t="shared" si="121"/>
        <v>0</v>
      </c>
      <c r="K192" s="117">
        <f t="shared" si="121"/>
        <v>1915000</v>
      </c>
      <c r="L192" s="117">
        <f t="shared" si="121"/>
        <v>0</v>
      </c>
      <c r="M192" s="117">
        <f t="shared" si="121"/>
        <v>0</v>
      </c>
      <c r="N192" s="117">
        <f t="shared" si="121"/>
        <v>1915000</v>
      </c>
      <c r="O192" s="128"/>
      <c r="P192" s="117">
        <f t="shared" si="121"/>
        <v>0</v>
      </c>
      <c r="Q192" s="117">
        <f t="shared" si="121"/>
        <v>0</v>
      </c>
      <c r="R192" s="117">
        <f t="shared" si="121"/>
        <v>1915000</v>
      </c>
      <c r="S192" s="117">
        <f t="shared" si="121"/>
        <v>0</v>
      </c>
      <c r="T192" s="117">
        <f t="shared" si="121"/>
        <v>0</v>
      </c>
      <c r="U192" s="83">
        <f t="shared" si="121"/>
        <v>1915000</v>
      </c>
      <c r="V192" s="83">
        <f t="shared" si="121"/>
        <v>0</v>
      </c>
      <c r="W192" s="83">
        <f t="shared" si="121"/>
        <v>0</v>
      </c>
      <c r="X192" s="83">
        <f t="shared" si="121"/>
        <v>1915000</v>
      </c>
      <c r="AI192" s="83">
        <f t="shared" si="122"/>
        <v>0</v>
      </c>
      <c r="AJ192" s="83">
        <f t="shared" si="122"/>
        <v>1915000</v>
      </c>
      <c r="AK192" s="83">
        <f t="shared" si="122"/>
        <v>0</v>
      </c>
      <c r="AL192" s="83">
        <f t="shared" si="122"/>
        <v>0</v>
      </c>
      <c r="AM192" s="83">
        <f t="shared" si="122"/>
        <v>1915000</v>
      </c>
    </row>
    <row r="193" spans="1:39" s="38" customFormat="1" ht="37.5">
      <c r="A193" s="44"/>
      <c r="B193" s="44"/>
      <c r="C193" s="45">
        <v>11</v>
      </c>
      <c r="D193" s="152" t="s">
        <v>475</v>
      </c>
      <c r="E193" s="47" t="s">
        <v>474</v>
      </c>
      <c r="F193" s="118"/>
      <c r="G193" s="118">
        <v>1915000</v>
      </c>
      <c r="H193" s="109">
        <f>F193+G193</f>
        <v>1915000</v>
      </c>
      <c r="I193" s="109"/>
      <c r="J193" s="109"/>
      <c r="K193" s="109">
        <f>H193+I193+J193</f>
        <v>1915000</v>
      </c>
      <c r="L193" s="109"/>
      <c r="M193" s="109"/>
      <c r="N193" s="109">
        <f>K193+L193+M193</f>
        <v>1915000</v>
      </c>
      <c r="O193" s="128"/>
      <c r="P193" s="109"/>
      <c r="Q193" s="109"/>
      <c r="R193" s="109">
        <f>N193+P193+Q193</f>
        <v>1915000</v>
      </c>
      <c r="S193" s="109"/>
      <c r="T193" s="109"/>
      <c r="U193" s="84">
        <f>Q193+R193</f>
        <v>1915000</v>
      </c>
      <c r="V193" s="85"/>
      <c r="W193" s="85"/>
      <c r="X193" s="84">
        <f>U193+V193+W193</f>
        <v>1915000</v>
      </c>
      <c r="AI193" s="85"/>
      <c r="AJ193" s="156">
        <f>X193+AI193</f>
        <v>1915000</v>
      </c>
      <c r="AK193" s="85"/>
      <c r="AL193" s="85"/>
      <c r="AM193" s="157">
        <f>AJ193+AK193+AL193</f>
        <v>1915000</v>
      </c>
    </row>
    <row r="194" spans="1:39" s="38" customFormat="1" ht="56.25">
      <c r="A194" s="34">
        <v>10</v>
      </c>
      <c r="B194" s="34"/>
      <c r="C194" s="35"/>
      <c r="D194" s="165" t="s">
        <v>449</v>
      </c>
      <c r="E194" s="37" t="s">
        <v>12</v>
      </c>
      <c r="F194" s="116">
        <f aca="true" t="shared" si="123" ref="F194:K194">F195+F200+F206+F223+F226</f>
        <v>1457086</v>
      </c>
      <c r="G194" s="116">
        <f t="shared" si="123"/>
        <v>8472046</v>
      </c>
      <c r="H194" s="117">
        <f t="shared" si="123"/>
        <v>9929132</v>
      </c>
      <c r="I194" s="117">
        <f t="shared" si="123"/>
        <v>0</v>
      </c>
      <c r="J194" s="117">
        <f t="shared" si="123"/>
        <v>0</v>
      </c>
      <c r="K194" s="117">
        <f t="shared" si="123"/>
        <v>9929132</v>
      </c>
      <c r="L194" s="117">
        <f>L195+L200+L206+L223+L226</f>
        <v>85765.3</v>
      </c>
      <c r="M194" s="117">
        <f>M195+M200+M206+M223+M226</f>
        <v>-370416</v>
      </c>
      <c r="N194" s="117">
        <f>N195+N200+N206+N223+N226</f>
        <v>9644481.3</v>
      </c>
      <c r="O194" s="128"/>
      <c r="P194" s="117">
        <f aca="true" t="shared" si="124" ref="P194:U194">P195+P200+P206+P223+P226</f>
        <v>0</v>
      </c>
      <c r="Q194" s="117">
        <f t="shared" si="124"/>
        <v>0</v>
      </c>
      <c r="R194" s="117">
        <f t="shared" si="124"/>
        <v>9644481.3</v>
      </c>
      <c r="S194" s="117">
        <f t="shared" si="124"/>
        <v>0</v>
      </c>
      <c r="T194" s="117">
        <f t="shared" si="124"/>
        <v>0</v>
      </c>
      <c r="U194" s="82">
        <f t="shared" si="124"/>
        <v>9644481.3</v>
      </c>
      <c r="V194" s="82">
        <f>V195+V200+V206+V223+V226</f>
        <v>61769</v>
      </c>
      <c r="W194" s="82">
        <f>W195+W200+W206+W223+W226</f>
        <v>-192906</v>
      </c>
      <c r="X194" s="82">
        <f>X195+X200+X206+X223+X226</f>
        <v>9513344.3</v>
      </c>
      <c r="AI194" s="82">
        <f>AI195+AI200+AI206+AI223+AI226</f>
        <v>0</v>
      </c>
      <c r="AJ194" s="82">
        <f>AJ195+AJ200+AJ206+AJ223+AJ226</f>
        <v>9513344.3</v>
      </c>
      <c r="AK194" s="82">
        <f>AK195+AK200+AK206+AK223+AK226</f>
        <v>120000</v>
      </c>
      <c r="AL194" s="82">
        <f>AL195+AL200+AL206+AL223+AL226</f>
        <v>-34087</v>
      </c>
      <c r="AM194" s="161">
        <f>AM195+AM200+AM206+AM223+AM226</f>
        <v>9599257.3</v>
      </c>
    </row>
    <row r="195" spans="1:39" s="38" customFormat="1" ht="18.75">
      <c r="A195" s="39"/>
      <c r="B195" s="39">
        <v>251</v>
      </c>
      <c r="C195" s="40"/>
      <c r="D195" s="40" t="s">
        <v>450</v>
      </c>
      <c r="E195" s="42" t="s">
        <v>13</v>
      </c>
      <c r="F195" s="116">
        <f aca="true" t="shared" si="125" ref="F195:K195">F196+F198+F197</f>
        <v>29283</v>
      </c>
      <c r="G195" s="116">
        <f t="shared" si="125"/>
        <v>0</v>
      </c>
      <c r="H195" s="117">
        <f t="shared" si="125"/>
        <v>29283</v>
      </c>
      <c r="I195" s="117">
        <f t="shared" si="125"/>
        <v>0</v>
      </c>
      <c r="J195" s="117">
        <f t="shared" si="125"/>
        <v>0</v>
      </c>
      <c r="K195" s="117">
        <f t="shared" si="125"/>
        <v>29283</v>
      </c>
      <c r="L195" s="117">
        <f>L196+L198+L197</f>
        <v>505</v>
      </c>
      <c r="M195" s="117">
        <f>M196+M198+M197</f>
        <v>-2157</v>
      </c>
      <c r="N195" s="117">
        <f>N196+N198+N197</f>
        <v>27631</v>
      </c>
      <c r="O195" s="128"/>
      <c r="P195" s="117">
        <f aca="true" t="shared" si="126" ref="P195:U195">P196+P198+P197</f>
        <v>0</v>
      </c>
      <c r="Q195" s="117">
        <f t="shared" si="126"/>
        <v>0</v>
      </c>
      <c r="R195" s="117">
        <f t="shared" si="126"/>
        <v>27631</v>
      </c>
      <c r="S195" s="117">
        <f t="shared" si="126"/>
        <v>0</v>
      </c>
      <c r="T195" s="117">
        <f t="shared" si="126"/>
        <v>0</v>
      </c>
      <c r="U195" s="83">
        <f t="shared" si="126"/>
        <v>27631</v>
      </c>
      <c r="V195" s="83">
        <f>V196+V198+V197+V199</f>
        <v>1000</v>
      </c>
      <c r="W195" s="83">
        <f>W196+W198+W197+W199</f>
        <v>0</v>
      </c>
      <c r="X195" s="83">
        <f>X196+X198+X197+X199</f>
        <v>28631</v>
      </c>
      <c r="AI195" s="83">
        <f>AI196+AI198+AI197+AI199</f>
        <v>0</v>
      </c>
      <c r="AJ195" s="83">
        <f>AJ196+AJ198+AJ197+AJ199</f>
        <v>28631</v>
      </c>
      <c r="AK195" s="83">
        <f>AK196+AK198+AK197+AK199</f>
        <v>0</v>
      </c>
      <c r="AL195" s="83">
        <f>AL196+AL198+AL197+AL199</f>
        <v>0</v>
      </c>
      <c r="AM195" s="83">
        <f>AM196+AM198+AM197+AM199</f>
        <v>28631</v>
      </c>
    </row>
    <row r="196" spans="1:39" s="38" customFormat="1" ht="37.5">
      <c r="A196" s="44"/>
      <c r="B196" s="44"/>
      <c r="C196" s="45">
        <v>1</v>
      </c>
      <c r="D196" s="152" t="s">
        <v>451</v>
      </c>
      <c r="E196" s="47" t="s">
        <v>332</v>
      </c>
      <c r="F196" s="118">
        <v>26900</v>
      </c>
      <c r="G196" s="118"/>
      <c r="H196" s="109">
        <f>F196+G196</f>
        <v>26900</v>
      </c>
      <c r="I196" s="109"/>
      <c r="J196" s="109"/>
      <c r="K196" s="109">
        <f>H196+I196+J196</f>
        <v>26900</v>
      </c>
      <c r="L196" s="109">
        <f>505</f>
        <v>505</v>
      </c>
      <c r="M196" s="109">
        <f>-2157</f>
        <v>-2157</v>
      </c>
      <c r="N196" s="109">
        <f>K196+L196+M196</f>
        <v>25248</v>
      </c>
      <c r="O196" s="128"/>
      <c r="P196" s="109"/>
      <c r="Q196" s="109"/>
      <c r="R196" s="109">
        <f aca="true" t="shared" si="127" ref="R196:R221">N196+P196+Q196</f>
        <v>25248</v>
      </c>
      <c r="S196" s="109"/>
      <c r="T196" s="109"/>
      <c r="U196" s="84">
        <f aca="true" t="shared" si="128" ref="U196:U204">Q196+R196</f>
        <v>25248</v>
      </c>
      <c r="V196" s="85"/>
      <c r="W196" s="85"/>
      <c r="X196" s="84">
        <f aca="true" t="shared" si="129" ref="X196:X204">U196+V196+W196</f>
        <v>25248</v>
      </c>
      <c r="AI196" s="85"/>
      <c r="AJ196" s="156">
        <f aca="true" t="shared" si="130" ref="AJ196:AJ204">X196+AI196</f>
        <v>25248</v>
      </c>
      <c r="AK196" s="85"/>
      <c r="AL196" s="85"/>
      <c r="AM196" s="156">
        <f aca="true" t="shared" si="131" ref="AM196:AM204">AJ196+AK196+AL196</f>
        <v>25248</v>
      </c>
    </row>
    <row r="197" spans="1:39" s="38" customFormat="1" ht="18.75">
      <c r="A197" s="44"/>
      <c r="B197" s="44"/>
      <c r="C197" s="45">
        <v>2</v>
      </c>
      <c r="D197" s="45" t="s">
        <v>352</v>
      </c>
      <c r="E197" s="47" t="s">
        <v>537</v>
      </c>
      <c r="F197" s="118">
        <v>1933</v>
      </c>
      <c r="G197" s="118"/>
      <c r="H197" s="109">
        <f>F197+G197</f>
        <v>1933</v>
      </c>
      <c r="I197" s="109"/>
      <c r="J197" s="109"/>
      <c r="K197" s="109">
        <f>H197+I197+J197</f>
        <v>1933</v>
      </c>
      <c r="L197" s="109"/>
      <c r="M197" s="109"/>
      <c r="N197" s="109">
        <f>K197+L197+M197</f>
        <v>1933</v>
      </c>
      <c r="O197" s="128"/>
      <c r="P197" s="109"/>
      <c r="Q197" s="109"/>
      <c r="R197" s="109">
        <f t="shared" si="127"/>
        <v>1933</v>
      </c>
      <c r="S197" s="109"/>
      <c r="T197" s="109"/>
      <c r="U197" s="84">
        <f t="shared" si="128"/>
        <v>1933</v>
      </c>
      <c r="V197" s="85"/>
      <c r="W197" s="85"/>
      <c r="X197" s="84">
        <f t="shared" si="129"/>
        <v>1933</v>
      </c>
      <c r="AI197" s="85"/>
      <c r="AJ197" s="156">
        <f t="shared" si="130"/>
        <v>1933</v>
      </c>
      <c r="AK197" s="85"/>
      <c r="AL197" s="85"/>
      <c r="AM197" s="156">
        <f t="shared" si="131"/>
        <v>1933</v>
      </c>
    </row>
    <row r="198" spans="1:39" s="38" customFormat="1" ht="18.75">
      <c r="A198" s="44"/>
      <c r="B198" s="44"/>
      <c r="C198" s="45">
        <v>12</v>
      </c>
      <c r="D198" s="152" t="s">
        <v>353</v>
      </c>
      <c r="E198" s="47" t="s">
        <v>296</v>
      </c>
      <c r="F198" s="118">
        <v>450</v>
      </c>
      <c r="G198" s="118"/>
      <c r="H198" s="109">
        <f>F198+G198</f>
        <v>450</v>
      </c>
      <c r="I198" s="109"/>
      <c r="J198" s="109"/>
      <c r="K198" s="109">
        <f>H198+I198+J198</f>
        <v>450</v>
      </c>
      <c r="L198" s="109"/>
      <c r="M198" s="109"/>
      <c r="N198" s="109">
        <f>K198+L198+M198</f>
        <v>450</v>
      </c>
      <c r="O198" s="128"/>
      <c r="P198" s="109"/>
      <c r="Q198" s="109"/>
      <c r="R198" s="109">
        <f t="shared" si="127"/>
        <v>450</v>
      </c>
      <c r="S198" s="109"/>
      <c r="T198" s="109"/>
      <c r="U198" s="84">
        <f t="shared" si="128"/>
        <v>450</v>
      </c>
      <c r="V198" s="85"/>
      <c r="W198" s="85"/>
      <c r="X198" s="84">
        <f t="shared" si="129"/>
        <v>450</v>
      </c>
      <c r="AI198" s="85"/>
      <c r="AJ198" s="156">
        <f t="shared" si="130"/>
        <v>450</v>
      </c>
      <c r="AK198" s="85"/>
      <c r="AL198" s="85"/>
      <c r="AM198" s="156">
        <f t="shared" si="131"/>
        <v>450</v>
      </c>
    </row>
    <row r="199" spans="1:39" s="38" customFormat="1" ht="18.75">
      <c r="A199" s="44"/>
      <c r="B199" s="44"/>
      <c r="C199" s="45">
        <v>113</v>
      </c>
      <c r="D199" s="69" t="s">
        <v>204</v>
      </c>
      <c r="E199" s="47" t="s">
        <v>310</v>
      </c>
      <c r="F199" s="118">
        <v>36000</v>
      </c>
      <c r="G199" s="118"/>
      <c r="H199" s="109">
        <f>F199+G199</f>
        <v>36000</v>
      </c>
      <c r="I199" s="109"/>
      <c r="J199" s="109"/>
      <c r="K199" s="109">
        <f>H199+I199+J199</f>
        <v>36000</v>
      </c>
      <c r="L199" s="109"/>
      <c r="M199" s="109"/>
      <c r="N199" s="109">
        <f>K199+L199+M199</f>
        <v>36000</v>
      </c>
      <c r="O199" s="128"/>
      <c r="P199" s="109"/>
      <c r="Q199" s="109"/>
      <c r="R199" s="109">
        <f t="shared" si="127"/>
        <v>36000</v>
      </c>
      <c r="S199" s="109"/>
      <c r="T199" s="109"/>
      <c r="U199" s="84"/>
      <c r="V199" s="132">
        <v>1000</v>
      </c>
      <c r="W199" s="84"/>
      <c r="X199" s="84">
        <f t="shared" si="129"/>
        <v>1000</v>
      </c>
      <c r="Y199" s="133"/>
      <c r="AI199" s="132"/>
      <c r="AJ199" s="156">
        <f t="shared" si="130"/>
        <v>1000</v>
      </c>
      <c r="AK199" s="132"/>
      <c r="AL199" s="132"/>
      <c r="AM199" s="156">
        <f t="shared" si="131"/>
        <v>1000</v>
      </c>
    </row>
    <row r="200" spans="1:39" s="38" customFormat="1" ht="37.5">
      <c r="A200" s="39"/>
      <c r="B200" s="39">
        <v>254</v>
      </c>
      <c r="C200" s="40"/>
      <c r="D200" s="153" t="s">
        <v>452</v>
      </c>
      <c r="E200" s="42" t="s">
        <v>14</v>
      </c>
      <c r="F200" s="116">
        <f aca="true" t="shared" si="132" ref="F200:K200">F201+F202+F203+F204</f>
        <v>851358</v>
      </c>
      <c r="G200" s="116">
        <f t="shared" si="132"/>
        <v>1520</v>
      </c>
      <c r="H200" s="117">
        <f t="shared" si="132"/>
        <v>852878</v>
      </c>
      <c r="I200" s="117">
        <f t="shared" si="132"/>
        <v>0</v>
      </c>
      <c r="J200" s="117">
        <f t="shared" si="132"/>
        <v>0</v>
      </c>
      <c r="K200" s="117">
        <f t="shared" si="132"/>
        <v>852878</v>
      </c>
      <c r="L200" s="117">
        <f>L201+L202+L203+L204</f>
        <v>21528</v>
      </c>
      <c r="M200" s="117">
        <f>M201+M202+M203+M204</f>
        <v>0</v>
      </c>
      <c r="N200" s="117">
        <f>N201+N202+N203+N204</f>
        <v>874406</v>
      </c>
      <c r="O200" s="128"/>
      <c r="P200" s="117">
        <f aca="true" t="shared" si="133" ref="P200:X200">P201+P202+P203+P204</f>
        <v>0</v>
      </c>
      <c r="Q200" s="117">
        <f t="shared" si="133"/>
        <v>0</v>
      </c>
      <c r="R200" s="117">
        <f t="shared" si="133"/>
        <v>874406</v>
      </c>
      <c r="S200" s="117">
        <f t="shared" si="133"/>
        <v>0</v>
      </c>
      <c r="T200" s="117">
        <f t="shared" si="133"/>
        <v>0</v>
      </c>
      <c r="U200" s="83">
        <f t="shared" si="133"/>
        <v>874406</v>
      </c>
      <c r="V200" s="83">
        <f t="shared" si="133"/>
        <v>36200</v>
      </c>
      <c r="W200" s="83">
        <f t="shared" si="133"/>
        <v>-62004</v>
      </c>
      <c r="X200" s="83">
        <f t="shared" si="133"/>
        <v>848602</v>
      </c>
      <c r="AI200" s="83">
        <f>AI201+AI202+AI203+AI204</f>
        <v>0</v>
      </c>
      <c r="AJ200" s="83">
        <f>AJ201+AJ202+AJ203+AJ204</f>
        <v>848602</v>
      </c>
      <c r="AK200" s="83">
        <f>AK201+AK202+AK203+AK204</f>
        <v>0</v>
      </c>
      <c r="AL200" s="83">
        <f>AL201+AL202+AL203+AL204</f>
        <v>0</v>
      </c>
      <c r="AM200" s="83">
        <f>AM201+AM202+AM203+AM204</f>
        <v>848602</v>
      </c>
    </row>
    <row r="201" spans="1:39" s="38" customFormat="1" ht="37.5">
      <c r="A201" s="44"/>
      <c r="B201" s="44"/>
      <c r="C201" s="45">
        <v>1</v>
      </c>
      <c r="D201" s="152" t="s">
        <v>453</v>
      </c>
      <c r="E201" s="47" t="s">
        <v>333</v>
      </c>
      <c r="F201" s="118">
        <v>62253</v>
      </c>
      <c r="G201" s="118">
        <v>1520</v>
      </c>
      <c r="H201" s="109">
        <f>F201+G201</f>
        <v>63773</v>
      </c>
      <c r="I201" s="109"/>
      <c r="J201" s="109"/>
      <c r="K201" s="109">
        <f>H201+I201+J201</f>
        <v>63773</v>
      </c>
      <c r="L201" s="109">
        <f>4+1227</f>
        <v>1231</v>
      </c>
      <c r="M201" s="109"/>
      <c r="N201" s="109">
        <f>K201+L201+M201</f>
        <v>65004</v>
      </c>
      <c r="O201" s="128"/>
      <c r="P201" s="109"/>
      <c r="Q201" s="109"/>
      <c r="R201" s="109">
        <f t="shared" si="127"/>
        <v>65004</v>
      </c>
      <c r="S201" s="109"/>
      <c r="T201" s="109"/>
      <c r="U201" s="84">
        <f t="shared" si="128"/>
        <v>65004</v>
      </c>
      <c r="V201" s="84"/>
      <c r="W201" s="85">
        <f>-8795-300</f>
        <v>-9095</v>
      </c>
      <c r="X201" s="84">
        <f t="shared" si="129"/>
        <v>55909</v>
      </c>
      <c r="AI201" s="84"/>
      <c r="AJ201" s="156">
        <f t="shared" si="130"/>
        <v>55909</v>
      </c>
      <c r="AK201" s="84"/>
      <c r="AL201" s="84"/>
      <c r="AM201" s="156">
        <f t="shared" si="131"/>
        <v>55909</v>
      </c>
    </row>
    <row r="202" spans="1:39" s="38" customFormat="1" ht="18.75">
      <c r="A202" s="44"/>
      <c r="B202" s="44"/>
      <c r="C202" s="45">
        <v>5</v>
      </c>
      <c r="D202" s="45" t="s">
        <v>454</v>
      </c>
      <c r="E202" s="47" t="s">
        <v>15</v>
      </c>
      <c r="F202" s="118">
        <v>431239</v>
      </c>
      <c r="G202" s="118"/>
      <c r="H202" s="109">
        <f>F202+G202</f>
        <v>431239</v>
      </c>
      <c r="I202" s="109"/>
      <c r="J202" s="109"/>
      <c r="K202" s="109">
        <f>H202+I202+J202</f>
        <v>431239</v>
      </c>
      <c r="L202" s="109">
        <f>20297.3-0.3</f>
        <v>20297</v>
      </c>
      <c r="M202" s="109"/>
      <c r="N202" s="109">
        <f>K202+L202+M202</f>
        <v>451536</v>
      </c>
      <c r="O202" s="128"/>
      <c r="P202" s="109"/>
      <c r="Q202" s="109"/>
      <c r="R202" s="109">
        <f t="shared" si="127"/>
        <v>451536</v>
      </c>
      <c r="S202" s="109"/>
      <c r="T202" s="109"/>
      <c r="U202" s="84">
        <f t="shared" si="128"/>
        <v>451536</v>
      </c>
      <c r="V202" s="85"/>
      <c r="W202" s="85">
        <f>-432-8750-13741</f>
        <v>-22923</v>
      </c>
      <c r="X202" s="84">
        <f t="shared" si="129"/>
        <v>428613</v>
      </c>
      <c r="AI202" s="85"/>
      <c r="AJ202" s="156">
        <f t="shared" si="130"/>
        <v>428613</v>
      </c>
      <c r="AK202" s="85"/>
      <c r="AL202" s="85"/>
      <c r="AM202" s="156">
        <f t="shared" si="131"/>
        <v>428613</v>
      </c>
    </row>
    <row r="203" spans="1:39" s="38" customFormat="1" ht="18.75">
      <c r="A203" s="44"/>
      <c r="B203" s="44"/>
      <c r="C203" s="45">
        <v>8</v>
      </c>
      <c r="D203" s="45" t="s">
        <v>455</v>
      </c>
      <c r="E203" s="47" t="s">
        <v>334</v>
      </c>
      <c r="F203" s="118">
        <v>355631</v>
      </c>
      <c r="G203" s="118"/>
      <c r="H203" s="109">
        <f>F203+G203</f>
        <v>355631</v>
      </c>
      <c r="I203" s="109"/>
      <c r="J203" s="109"/>
      <c r="K203" s="109">
        <f>H203+I203+J203</f>
        <v>355631</v>
      </c>
      <c r="L203" s="109"/>
      <c r="M203" s="109"/>
      <c r="N203" s="109">
        <f>K203+L203+M203</f>
        <v>355631</v>
      </c>
      <c r="O203" s="128"/>
      <c r="P203" s="109"/>
      <c r="Q203" s="109"/>
      <c r="R203" s="109">
        <f t="shared" si="127"/>
        <v>355631</v>
      </c>
      <c r="S203" s="109"/>
      <c r="T203" s="109"/>
      <c r="U203" s="84">
        <f t="shared" si="128"/>
        <v>355631</v>
      </c>
      <c r="V203" s="85">
        <f>29000+6900</f>
        <v>35900</v>
      </c>
      <c r="W203" s="85">
        <f>-507-362-800-1203-940-90-2231-6160-7530-50-2470-5143-400-830-850-420</f>
        <v>-29986</v>
      </c>
      <c r="X203" s="84">
        <f t="shared" si="129"/>
        <v>361545</v>
      </c>
      <c r="AI203" s="85"/>
      <c r="AJ203" s="156">
        <f t="shared" si="130"/>
        <v>361545</v>
      </c>
      <c r="AK203" s="85"/>
      <c r="AL203" s="85"/>
      <c r="AM203" s="156">
        <f t="shared" si="131"/>
        <v>361545</v>
      </c>
    </row>
    <row r="204" spans="1:39" s="38" customFormat="1" ht="18.75">
      <c r="A204" s="44"/>
      <c r="B204" s="44"/>
      <c r="C204" s="45">
        <v>12</v>
      </c>
      <c r="D204" s="45" t="s">
        <v>352</v>
      </c>
      <c r="E204" s="47" t="s">
        <v>537</v>
      </c>
      <c r="F204" s="118">
        <v>2235</v>
      </c>
      <c r="G204" s="118"/>
      <c r="H204" s="109">
        <f>F204+G204</f>
        <v>2235</v>
      </c>
      <c r="I204" s="109"/>
      <c r="J204" s="109"/>
      <c r="K204" s="109">
        <f>H204+I204+J204</f>
        <v>2235</v>
      </c>
      <c r="L204" s="109"/>
      <c r="M204" s="109"/>
      <c r="N204" s="109">
        <f>K204+L204+M204</f>
        <v>2235</v>
      </c>
      <c r="O204" s="128"/>
      <c r="P204" s="109"/>
      <c r="Q204" s="109"/>
      <c r="R204" s="109">
        <f t="shared" si="127"/>
        <v>2235</v>
      </c>
      <c r="S204" s="109"/>
      <c r="T204" s="109"/>
      <c r="U204" s="84">
        <f t="shared" si="128"/>
        <v>2235</v>
      </c>
      <c r="V204" s="85">
        <f>300</f>
        <v>300</v>
      </c>
      <c r="W204" s="85"/>
      <c r="X204" s="84">
        <f t="shared" si="129"/>
        <v>2535</v>
      </c>
      <c r="AI204" s="85"/>
      <c r="AJ204" s="156">
        <f t="shared" si="130"/>
        <v>2535</v>
      </c>
      <c r="AK204" s="85"/>
      <c r="AL204" s="85"/>
      <c r="AM204" s="156">
        <f t="shared" si="131"/>
        <v>2535</v>
      </c>
    </row>
    <row r="205" spans="1:39" s="38" customFormat="1" ht="18.75" hidden="1">
      <c r="A205" s="44"/>
      <c r="B205" s="44"/>
      <c r="C205" s="45">
        <v>14</v>
      </c>
      <c r="D205" s="152" t="s">
        <v>353</v>
      </c>
      <c r="E205" s="47" t="s">
        <v>296</v>
      </c>
      <c r="F205" s="118"/>
      <c r="G205" s="118"/>
      <c r="H205" s="109">
        <f>F205+G205</f>
        <v>0</v>
      </c>
      <c r="I205" s="109"/>
      <c r="J205" s="109"/>
      <c r="K205" s="109">
        <f>H205+I205+J205</f>
        <v>0</v>
      </c>
      <c r="L205" s="109"/>
      <c r="M205" s="109"/>
      <c r="N205" s="109">
        <f>K205+L205+M205</f>
        <v>0</v>
      </c>
      <c r="O205" s="128"/>
      <c r="P205" s="109"/>
      <c r="Q205" s="109"/>
      <c r="R205" s="109">
        <f t="shared" si="127"/>
        <v>0</v>
      </c>
      <c r="S205" s="109"/>
      <c r="T205" s="109"/>
      <c r="U205" s="84">
        <f>Q205+S205+T205</f>
        <v>0</v>
      </c>
      <c r="V205" s="85"/>
      <c r="W205" s="85"/>
      <c r="X205" s="84">
        <f>T205+V205+W205</f>
        <v>0</v>
      </c>
      <c r="AI205" s="85"/>
      <c r="AJ205" s="84">
        <f>AF205+AH205+AI205</f>
        <v>0</v>
      </c>
      <c r="AK205" s="85"/>
      <c r="AL205" s="85"/>
      <c r="AM205" s="84">
        <f>AH205+AJ205+AL205</f>
        <v>0</v>
      </c>
    </row>
    <row r="206" spans="1:39" s="38" customFormat="1" ht="18.75">
      <c r="A206" s="39"/>
      <c r="B206" s="39">
        <v>255</v>
      </c>
      <c r="C206" s="40"/>
      <c r="D206" s="153" t="s">
        <v>456</v>
      </c>
      <c r="E206" s="42" t="s">
        <v>16</v>
      </c>
      <c r="F206" s="116">
        <f>F207+F208+F209+F210+F211+F212+F213+F216+F217+F222+F214+F218+F215+F219+F220</f>
        <v>429445</v>
      </c>
      <c r="G206" s="116">
        <f>G207+G208+G209+G210+G211+G212+G213+G216+G217+G222+G214+G218+G215+G219+G220</f>
        <v>5690871</v>
      </c>
      <c r="H206" s="117">
        <f>H207+H208+H209+H210+H211+H212+H213+H216+H217+H222+H214+H218+H215+H219+H220</f>
        <v>6120316</v>
      </c>
      <c r="I206" s="117">
        <f>I207+I208+I209+I210+I211+I212+I213+I216+I217+I222+I214+I218+I215+I219+I220</f>
        <v>0</v>
      </c>
      <c r="J206" s="117">
        <f>J207+J208+J209+J210+J211+J212+J213+J216+J217+J222+J214+J218+J215+J219+J220</f>
        <v>0</v>
      </c>
      <c r="K206" s="117">
        <f>K207+K208+K209+K210+K211+K212+K213+K216+K217+K222+K214+K218+K215+K219+K220+K221</f>
        <v>6120316</v>
      </c>
      <c r="L206" s="117">
        <f>L207+L208+L209+L210+L211+L212+L213+L216+L217+L222+L214+L218+L215+L219+L220+L221</f>
        <v>19732.3</v>
      </c>
      <c r="M206" s="117">
        <f>M207+M208+M209+M210+M211+M212+M213+M216+M217+M222+M214+M218+M215+M219+M220+M221</f>
        <v>-368259</v>
      </c>
      <c r="N206" s="117">
        <f>N207+N208+N209+N210+N211+N212+N213+N216+N217+N222+N214+N218+N215+N219+N220+N221</f>
        <v>5771789.300000001</v>
      </c>
      <c r="O206" s="128"/>
      <c r="P206" s="117">
        <f aca="true" t="shared" si="134" ref="P206:X206">P207+P208+P209+P210+P211+P212+P213+P216+P217+P222+P214+P218+P215+P219+P220+P221</f>
        <v>0</v>
      </c>
      <c r="Q206" s="117">
        <f t="shared" si="134"/>
        <v>0</v>
      </c>
      <c r="R206" s="117">
        <f t="shared" si="134"/>
        <v>5771789.300000001</v>
      </c>
      <c r="S206" s="117">
        <f t="shared" si="134"/>
        <v>0</v>
      </c>
      <c r="T206" s="117">
        <f t="shared" si="134"/>
        <v>0</v>
      </c>
      <c r="U206" s="83">
        <f t="shared" si="134"/>
        <v>5771789.300000001</v>
      </c>
      <c r="V206" s="83">
        <f t="shared" si="134"/>
        <v>24569</v>
      </c>
      <c r="W206" s="83">
        <f t="shared" si="134"/>
        <v>-130902</v>
      </c>
      <c r="X206" s="83">
        <f t="shared" si="134"/>
        <v>5665456.300000001</v>
      </c>
      <c r="AI206" s="83">
        <f>AI207+AI208+AI209+AI210+AI211+AI212+AI213+AI216+AI217+AI222+AI214+AI218+AI215+AI219+AI220+AI221</f>
        <v>0</v>
      </c>
      <c r="AJ206" s="83">
        <f>AJ207+AJ208+AJ209+AJ210+AJ211+AJ212+AJ213+AJ216+AJ217+AJ222+AJ214+AJ218+AJ215+AJ219+AJ220+AJ221</f>
        <v>5665456.300000001</v>
      </c>
      <c r="AK206" s="83">
        <f>AK207+AK208+AK209+AK210+AK211+AK212+AK213+AK216+AK217+AK222+AK214+AK218+AK215+AK219+AK220+AK221</f>
        <v>0</v>
      </c>
      <c r="AL206" s="83">
        <f>AL207+AL208+AL209+AL210+AL211+AL212+AL213+AL216+AL217+AL222+AL214+AL218+AL215+AL219+AL220+AL221</f>
        <v>0</v>
      </c>
      <c r="AM206" s="83">
        <f>AM207+AM208+AM209+AM210+AM211+AM212+AM213+AM216+AM217+AM222+AM214+AM218+AM215+AM219+AM220+AM221</f>
        <v>5665456.300000001</v>
      </c>
    </row>
    <row r="207" spans="1:39" s="38" customFormat="1" ht="37.5">
      <c r="A207" s="44"/>
      <c r="B207" s="44"/>
      <c r="C207" s="45">
        <v>1</v>
      </c>
      <c r="D207" s="47" t="s">
        <v>457</v>
      </c>
      <c r="E207" s="47" t="s">
        <v>335</v>
      </c>
      <c r="F207" s="118">
        <v>62572</v>
      </c>
      <c r="G207" s="118">
        <v>1845</v>
      </c>
      <c r="H207" s="109">
        <f aca="true" t="shared" si="135" ref="H207:H222">F207+G207</f>
        <v>64417</v>
      </c>
      <c r="I207" s="109"/>
      <c r="J207" s="109"/>
      <c r="K207" s="109">
        <f aca="true" t="shared" si="136" ref="K207:K222">H207+I207+J207</f>
        <v>64417</v>
      </c>
      <c r="L207" s="109">
        <f>1424+169+2771</f>
        <v>4364</v>
      </c>
      <c r="M207" s="109"/>
      <c r="N207" s="109">
        <f aca="true" t="shared" si="137" ref="N207:N222">K207+L207+M207</f>
        <v>68781</v>
      </c>
      <c r="O207" s="128"/>
      <c r="P207" s="109"/>
      <c r="Q207" s="109"/>
      <c r="R207" s="109">
        <f t="shared" si="127"/>
        <v>68781</v>
      </c>
      <c r="S207" s="109"/>
      <c r="T207" s="109"/>
      <c r="U207" s="84">
        <f aca="true" t="shared" si="138" ref="U207:U221">Q207+R207</f>
        <v>68781</v>
      </c>
      <c r="V207" s="84">
        <v>551</v>
      </c>
      <c r="W207" s="85"/>
      <c r="X207" s="84">
        <f aca="true" t="shared" si="139" ref="X207:X221">U207+V207+W207</f>
        <v>69332</v>
      </c>
      <c r="AI207" s="84"/>
      <c r="AJ207" s="156">
        <f aca="true" t="shared" si="140" ref="AJ207:AJ227">X207+AI207</f>
        <v>69332</v>
      </c>
      <c r="AK207" s="84"/>
      <c r="AL207" s="84"/>
      <c r="AM207" s="156">
        <f aca="true" t="shared" si="141" ref="AM207:AM227">AJ207+AK207+AL207</f>
        <v>69332</v>
      </c>
    </row>
    <row r="208" spans="1:39" s="38" customFormat="1" ht="18.75">
      <c r="A208" s="44"/>
      <c r="B208" s="44"/>
      <c r="C208" s="45">
        <v>2</v>
      </c>
      <c r="D208" s="47" t="s">
        <v>458</v>
      </c>
      <c r="E208" s="47" t="s">
        <v>284</v>
      </c>
      <c r="F208" s="118">
        <v>25000</v>
      </c>
      <c r="G208" s="118">
        <v>377543</v>
      </c>
      <c r="H208" s="109">
        <f t="shared" si="135"/>
        <v>402543</v>
      </c>
      <c r="I208" s="109"/>
      <c r="J208" s="109"/>
      <c r="K208" s="109">
        <f t="shared" si="136"/>
        <v>402543</v>
      </c>
      <c r="L208" s="109"/>
      <c r="M208" s="109"/>
      <c r="N208" s="109">
        <f t="shared" si="137"/>
        <v>402543</v>
      </c>
      <c r="O208" s="128"/>
      <c r="P208" s="109"/>
      <c r="Q208" s="109"/>
      <c r="R208" s="109">
        <f t="shared" si="127"/>
        <v>402543</v>
      </c>
      <c r="S208" s="109"/>
      <c r="T208" s="109"/>
      <c r="U208" s="84">
        <f t="shared" si="138"/>
        <v>402543</v>
      </c>
      <c r="V208" s="84"/>
      <c r="W208" s="85"/>
      <c r="X208" s="84">
        <f t="shared" si="139"/>
        <v>402543</v>
      </c>
      <c r="AI208" s="84"/>
      <c r="AJ208" s="156">
        <f t="shared" si="140"/>
        <v>402543</v>
      </c>
      <c r="AK208" s="84"/>
      <c r="AL208" s="84"/>
      <c r="AM208" s="156">
        <f t="shared" si="141"/>
        <v>402543</v>
      </c>
    </row>
    <row r="209" spans="1:39" s="53" customFormat="1" ht="18.75">
      <c r="A209" s="64"/>
      <c r="B209" s="64"/>
      <c r="C209" s="65">
        <v>4</v>
      </c>
      <c r="D209" s="69" t="s">
        <v>459</v>
      </c>
      <c r="E209" s="67" t="s">
        <v>17</v>
      </c>
      <c r="F209" s="154">
        <v>1166</v>
      </c>
      <c r="G209" s="154"/>
      <c r="H209" s="84">
        <f t="shared" si="135"/>
        <v>1166</v>
      </c>
      <c r="I209" s="84"/>
      <c r="J209" s="84"/>
      <c r="K209" s="84">
        <f t="shared" si="136"/>
        <v>1166</v>
      </c>
      <c r="L209" s="84">
        <v>230</v>
      </c>
      <c r="M209" s="84"/>
      <c r="N209" s="84">
        <f t="shared" si="137"/>
        <v>1396</v>
      </c>
      <c r="P209" s="84"/>
      <c r="Q209" s="84"/>
      <c r="R209" s="84">
        <f t="shared" si="127"/>
        <v>1396</v>
      </c>
      <c r="S209" s="84"/>
      <c r="T209" s="84"/>
      <c r="U209" s="84">
        <f t="shared" si="138"/>
        <v>1396</v>
      </c>
      <c r="V209" s="84"/>
      <c r="W209" s="84"/>
      <c r="X209" s="84">
        <f t="shared" si="139"/>
        <v>1396</v>
      </c>
      <c r="AI209" s="84"/>
      <c r="AJ209" s="156">
        <f t="shared" si="140"/>
        <v>1396</v>
      </c>
      <c r="AK209" s="84"/>
      <c r="AL209" s="84"/>
      <c r="AM209" s="156">
        <f t="shared" si="141"/>
        <v>1396</v>
      </c>
    </row>
    <row r="210" spans="1:39" s="53" customFormat="1" ht="18.75">
      <c r="A210" s="64"/>
      <c r="B210" s="64"/>
      <c r="C210" s="65">
        <v>6</v>
      </c>
      <c r="D210" s="69" t="s">
        <v>353</v>
      </c>
      <c r="E210" s="67" t="s">
        <v>296</v>
      </c>
      <c r="F210" s="154">
        <v>7000</v>
      </c>
      <c r="G210" s="154">
        <v>268</v>
      </c>
      <c r="H210" s="84">
        <f t="shared" si="135"/>
        <v>7268</v>
      </c>
      <c r="I210" s="84"/>
      <c r="J210" s="84"/>
      <c r="K210" s="84">
        <f t="shared" si="136"/>
        <v>7268</v>
      </c>
      <c r="L210" s="84"/>
      <c r="M210" s="84"/>
      <c r="N210" s="84">
        <f t="shared" si="137"/>
        <v>7268</v>
      </c>
      <c r="P210" s="84"/>
      <c r="Q210" s="84"/>
      <c r="R210" s="84">
        <f t="shared" si="127"/>
        <v>7268</v>
      </c>
      <c r="S210" s="84"/>
      <c r="T210" s="84"/>
      <c r="U210" s="84">
        <f t="shared" si="138"/>
        <v>7268</v>
      </c>
      <c r="V210" s="84"/>
      <c r="W210" s="84"/>
      <c r="X210" s="84">
        <f t="shared" si="139"/>
        <v>7268</v>
      </c>
      <c r="AI210" s="84"/>
      <c r="AJ210" s="156">
        <f t="shared" si="140"/>
        <v>7268</v>
      </c>
      <c r="AK210" s="84"/>
      <c r="AL210" s="84"/>
      <c r="AM210" s="156">
        <f t="shared" si="141"/>
        <v>7268</v>
      </c>
    </row>
    <row r="211" spans="1:39" s="53" customFormat="1" ht="18.75">
      <c r="A211" s="64"/>
      <c r="B211" s="64"/>
      <c r="C211" s="65">
        <v>7</v>
      </c>
      <c r="D211" s="69" t="s">
        <v>352</v>
      </c>
      <c r="E211" s="67" t="s">
        <v>537</v>
      </c>
      <c r="F211" s="154">
        <v>2513</v>
      </c>
      <c r="G211" s="154"/>
      <c r="H211" s="84">
        <f t="shared" si="135"/>
        <v>2513</v>
      </c>
      <c r="I211" s="84"/>
      <c r="J211" s="84"/>
      <c r="K211" s="84">
        <f t="shared" si="136"/>
        <v>2513</v>
      </c>
      <c r="L211" s="84"/>
      <c r="M211" s="84"/>
      <c r="N211" s="84">
        <f t="shared" si="137"/>
        <v>2513</v>
      </c>
      <c r="P211" s="84"/>
      <c r="Q211" s="84"/>
      <c r="R211" s="84">
        <f t="shared" si="127"/>
        <v>2513</v>
      </c>
      <c r="S211" s="84"/>
      <c r="T211" s="84"/>
      <c r="U211" s="84">
        <f t="shared" si="138"/>
        <v>2513</v>
      </c>
      <c r="V211" s="84"/>
      <c r="W211" s="84"/>
      <c r="X211" s="84">
        <f t="shared" si="139"/>
        <v>2513</v>
      </c>
      <c r="AI211" s="84"/>
      <c r="AJ211" s="156">
        <f t="shared" si="140"/>
        <v>2513</v>
      </c>
      <c r="AK211" s="84"/>
      <c r="AL211" s="84"/>
      <c r="AM211" s="156">
        <f t="shared" si="141"/>
        <v>2513</v>
      </c>
    </row>
    <row r="212" spans="1:39" s="53" customFormat="1" ht="56.25">
      <c r="A212" s="64"/>
      <c r="B212" s="64"/>
      <c r="C212" s="65">
        <v>9</v>
      </c>
      <c r="D212" s="69" t="s">
        <v>460</v>
      </c>
      <c r="E212" s="67" t="s">
        <v>18</v>
      </c>
      <c r="F212" s="154">
        <v>25194</v>
      </c>
      <c r="G212" s="154">
        <v>504781</v>
      </c>
      <c r="H212" s="84">
        <f t="shared" si="135"/>
        <v>529975</v>
      </c>
      <c r="I212" s="84"/>
      <c r="J212" s="84"/>
      <c r="K212" s="84">
        <f t="shared" si="136"/>
        <v>529975</v>
      </c>
      <c r="L212" s="84"/>
      <c r="M212" s="84"/>
      <c r="N212" s="84">
        <f t="shared" si="137"/>
        <v>529975</v>
      </c>
      <c r="P212" s="84"/>
      <c r="Q212" s="84"/>
      <c r="R212" s="84">
        <f t="shared" si="127"/>
        <v>529975</v>
      </c>
      <c r="S212" s="84"/>
      <c r="T212" s="84"/>
      <c r="U212" s="84">
        <f t="shared" si="138"/>
        <v>529975</v>
      </c>
      <c r="V212" s="84"/>
      <c r="W212" s="84"/>
      <c r="X212" s="84">
        <f t="shared" si="139"/>
        <v>529975</v>
      </c>
      <c r="AI212" s="84"/>
      <c r="AJ212" s="156">
        <f t="shared" si="140"/>
        <v>529975</v>
      </c>
      <c r="AK212" s="84"/>
      <c r="AL212" s="84"/>
      <c r="AM212" s="156">
        <f t="shared" si="141"/>
        <v>529975</v>
      </c>
    </row>
    <row r="213" spans="1:39" s="53" customFormat="1" ht="18.75">
      <c r="A213" s="64"/>
      <c r="B213" s="64"/>
      <c r="C213" s="65">
        <v>10</v>
      </c>
      <c r="D213" s="67" t="s">
        <v>170</v>
      </c>
      <c r="E213" s="67" t="s">
        <v>336</v>
      </c>
      <c r="F213" s="154">
        <v>285600</v>
      </c>
      <c r="G213" s="154">
        <v>423973</v>
      </c>
      <c r="H213" s="84">
        <f t="shared" si="135"/>
        <v>709573</v>
      </c>
      <c r="I213" s="84"/>
      <c r="J213" s="84"/>
      <c r="K213" s="84">
        <f t="shared" si="136"/>
        <v>709573</v>
      </c>
      <c r="L213" s="84"/>
      <c r="M213" s="84"/>
      <c r="N213" s="84">
        <f t="shared" si="137"/>
        <v>709573</v>
      </c>
      <c r="P213" s="84"/>
      <c r="Q213" s="84"/>
      <c r="R213" s="84">
        <f t="shared" si="127"/>
        <v>709573</v>
      </c>
      <c r="S213" s="84"/>
      <c r="T213" s="84"/>
      <c r="U213" s="84">
        <f t="shared" si="138"/>
        <v>709573</v>
      </c>
      <c r="V213" s="84"/>
      <c r="W213" s="84">
        <f>-130900</f>
        <v>-130900</v>
      </c>
      <c r="X213" s="84">
        <f t="shared" si="139"/>
        <v>578673</v>
      </c>
      <c r="AI213" s="84"/>
      <c r="AJ213" s="156">
        <f t="shared" si="140"/>
        <v>578673</v>
      </c>
      <c r="AK213" s="84"/>
      <c r="AL213" s="84"/>
      <c r="AM213" s="156">
        <f t="shared" si="141"/>
        <v>578673</v>
      </c>
    </row>
    <row r="214" spans="1:39" s="53" customFormat="1" ht="37.5">
      <c r="A214" s="64"/>
      <c r="B214" s="64"/>
      <c r="C214" s="65">
        <v>11</v>
      </c>
      <c r="D214" s="69" t="s">
        <v>477</v>
      </c>
      <c r="E214" s="67" t="s">
        <v>476</v>
      </c>
      <c r="F214" s="154"/>
      <c r="G214" s="154">
        <v>701439</v>
      </c>
      <c r="H214" s="84">
        <f t="shared" si="135"/>
        <v>701439</v>
      </c>
      <c r="I214" s="84"/>
      <c r="J214" s="84"/>
      <c r="K214" s="84">
        <f t="shared" si="136"/>
        <v>701439</v>
      </c>
      <c r="L214" s="84"/>
      <c r="M214" s="84"/>
      <c r="N214" s="84">
        <f t="shared" si="137"/>
        <v>701439</v>
      </c>
      <c r="P214" s="84"/>
      <c r="Q214" s="84"/>
      <c r="R214" s="84">
        <f t="shared" si="127"/>
        <v>701439</v>
      </c>
      <c r="S214" s="84"/>
      <c r="T214" s="84"/>
      <c r="U214" s="84">
        <f t="shared" si="138"/>
        <v>701439</v>
      </c>
      <c r="V214" s="84"/>
      <c r="W214" s="84"/>
      <c r="X214" s="84">
        <f t="shared" si="139"/>
        <v>701439</v>
      </c>
      <c r="AI214" s="84"/>
      <c r="AJ214" s="156">
        <f t="shared" si="140"/>
        <v>701439</v>
      </c>
      <c r="AK214" s="84"/>
      <c r="AL214" s="84"/>
      <c r="AM214" s="157">
        <f t="shared" si="141"/>
        <v>701439</v>
      </c>
    </row>
    <row r="215" spans="1:39" s="53" customFormat="1" ht="37.5">
      <c r="A215" s="64"/>
      <c r="B215" s="64"/>
      <c r="C215" s="65">
        <v>13</v>
      </c>
      <c r="D215" s="69" t="s">
        <v>479</v>
      </c>
      <c r="E215" s="67" t="s">
        <v>478</v>
      </c>
      <c r="F215" s="154"/>
      <c r="G215" s="154">
        <v>756890</v>
      </c>
      <c r="H215" s="84">
        <f t="shared" si="135"/>
        <v>756890</v>
      </c>
      <c r="I215" s="84"/>
      <c r="J215" s="84"/>
      <c r="K215" s="84">
        <f t="shared" si="136"/>
        <v>756890</v>
      </c>
      <c r="L215" s="84"/>
      <c r="M215" s="84"/>
      <c r="N215" s="84">
        <f t="shared" si="137"/>
        <v>756890</v>
      </c>
      <c r="P215" s="84"/>
      <c r="Q215" s="84"/>
      <c r="R215" s="84">
        <f t="shared" si="127"/>
        <v>756890</v>
      </c>
      <c r="S215" s="84"/>
      <c r="T215" s="84"/>
      <c r="U215" s="84">
        <f t="shared" si="138"/>
        <v>756890</v>
      </c>
      <c r="V215" s="84"/>
      <c r="W215" s="84"/>
      <c r="X215" s="84">
        <f t="shared" si="139"/>
        <v>756890</v>
      </c>
      <c r="AI215" s="84"/>
      <c r="AJ215" s="156">
        <f t="shared" si="140"/>
        <v>756890</v>
      </c>
      <c r="AK215" s="84"/>
      <c r="AL215" s="84"/>
      <c r="AM215" s="157">
        <f t="shared" si="141"/>
        <v>756890</v>
      </c>
    </row>
    <row r="216" spans="1:39" s="53" customFormat="1" ht="18.75">
      <c r="A216" s="64"/>
      <c r="B216" s="64"/>
      <c r="C216" s="65">
        <v>18</v>
      </c>
      <c r="D216" s="69" t="s">
        <v>461</v>
      </c>
      <c r="E216" s="67" t="s">
        <v>19</v>
      </c>
      <c r="F216" s="154">
        <v>3400</v>
      </c>
      <c r="G216" s="154"/>
      <c r="H216" s="84">
        <f t="shared" si="135"/>
        <v>3400</v>
      </c>
      <c r="I216" s="84"/>
      <c r="J216" s="84"/>
      <c r="K216" s="84">
        <f t="shared" si="136"/>
        <v>3400</v>
      </c>
      <c r="L216" s="84">
        <f>1147.7</f>
        <v>1147.7</v>
      </c>
      <c r="M216" s="84"/>
      <c r="N216" s="84">
        <f t="shared" si="137"/>
        <v>4547.7</v>
      </c>
      <c r="P216" s="84"/>
      <c r="Q216" s="84"/>
      <c r="R216" s="84">
        <f t="shared" si="127"/>
        <v>4547.7</v>
      </c>
      <c r="S216" s="84"/>
      <c r="T216" s="84"/>
      <c r="U216" s="84">
        <f t="shared" si="138"/>
        <v>4547.7</v>
      </c>
      <c r="V216" s="84"/>
      <c r="W216" s="84">
        <f>-2</f>
        <v>-2</v>
      </c>
      <c r="X216" s="84">
        <f t="shared" si="139"/>
        <v>4545.7</v>
      </c>
      <c r="AI216" s="84"/>
      <c r="AJ216" s="156">
        <f t="shared" si="140"/>
        <v>4545.7</v>
      </c>
      <c r="AK216" s="84"/>
      <c r="AL216" s="84"/>
      <c r="AM216" s="156">
        <f t="shared" si="141"/>
        <v>4545.7</v>
      </c>
    </row>
    <row r="217" spans="1:39" s="53" customFormat="1" ht="37.5">
      <c r="A217" s="64"/>
      <c r="B217" s="64"/>
      <c r="C217" s="65">
        <v>19</v>
      </c>
      <c r="D217" s="69" t="s">
        <v>462</v>
      </c>
      <c r="E217" s="67" t="s">
        <v>337</v>
      </c>
      <c r="F217" s="154">
        <v>17000</v>
      </c>
      <c r="G217" s="154"/>
      <c r="H217" s="84">
        <f t="shared" si="135"/>
        <v>17000</v>
      </c>
      <c r="I217" s="84"/>
      <c r="J217" s="84"/>
      <c r="K217" s="84">
        <f t="shared" si="136"/>
        <v>17000</v>
      </c>
      <c r="L217" s="84"/>
      <c r="M217" s="84"/>
      <c r="N217" s="84">
        <f t="shared" si="137"/>
        <v>17000</v>
      </c>
      <c r="P217" s="84"/>
      <c r="Q217" s="84"/>
      <c r="R217" s="84">
        <f t="shared" si="127"/>
        <v>17000</v>
      </c>
      <c r="S217" s="84"/>
      <c r="T217" s="84"/>
      <c r="U217" s="84">
        <f t="shared" si="138"/>
        <v>17000</v>
      </c>
      <c r="V217" s="84"/>
      <c r="W217" s="84"/>
      <c r="X217" s="84">
        <f t="shared" si="139"/>
        <v>17000</v>
      </c>
      <c r="AI217" s="84"/>
      <c r="AJ217" s="156">
        <f t="shared" si="140"/>
        <v>17000</v>
      </c>
      <c r="AK217" s="84"/>
      <c r="AL217" s="84"/>
      <c r="AM217" s="156">
        <f t="shared" si="141"/>
        <v>17000</v>
      </c>
    </row>
    <row r="218" spans="1:39" s="53" customFormat="1" ht="56.25">
      <c r="A218" s="64"/>
      <c r="B218" s="64"/>
      <c r="C218" s="65">
        <v>20</v>
      </c>
      <c r="D218" s="69" t="s">
        <v>481</v>
      </c>
      <c r="E218" s="67" t="s">
        <v>480</v>
      </c>
      <c r="F218" s="154"/>
      <c r="G218" s="154">
        <v>2494778</v>
      </c>
      <c r="H218" s="84">
        <f t="shared" si="135"/>
        <v>2494778</v>
      </c>
      <c r="I218" s="84"/>
      <c r="J218" s="84"/>
      <c r="K218" s="84">
        <f t="shared" si="136"/>
        <v>2494778</v>
      </c>
      <c r="L218" s="84">
        <v>49.6</v>
      </c>
      <c r="M218" s="84">
        <f>-361741</f>
        <v>-361741</v>
      </c>
      <c r="N218" s="84">
        <f t="shared" si="137"/>
        <v>2133086.6</v>
      </c>
      <c r="P218" s="84"/>
      <c r="Q218" s="84"/>
      <c r="R218" s="84">
        <f t="shared" si="127"/>
        <v>2133086.6</v>
      </c>
      <c r="S218" s="84"/>
      <c r="T218" s="84"/>
      <c r="U218" s="84">
        <f t="shared" si="138"/>
        <v>2133086.6</v>
      </c>
      <c r="V218" s="84"/>
      <c r="W218" s="84"/>
      <c r="X218" s="84">
        <f t="shared" si="139"/>
        <v>2133086.6</v>
      </c>
      <c r="AI218" s="84"/>
      <c r="AJ218" s="156">
        <f t="shared" si="140"/>
        <v>2133086.6</v>
      </c>
      <c r="AK218" s="84"/>
      <c r="AL218" s="84"/>
      <c r="AM218" s="156">
        <f t="shared" si="141"/>
        <v>2133086.6</v>
      </c>
    </row>
    <row r="219" spans="1:39" s="53" customFormat="1" ht="37.5">
      <c r="A219" s="64"/>
      <c r="B219" s="64"/>
      <c r="C219" s="65">
        <v>26</v>
      </c>
      <c r="D219" s="69" t="s">
        <v>483</v>
      </c>
      <c r="E219" s="67" t="s">
        <v>482</v>
      </c>
      <c r="F219" s="154"/>
      <c r="G219" s="154">
        <v>167085</v>
      </c>
      <c r="H219" s="84">
        <f t="shared" si="135"/>
        <v>167085</v>
      </c>
      <c r="I219" s="84"/>
      <c r="J219" s="84"/>
      <c r="K219" s="84">
        <f t="shared" si="136"/>
        <v>167085</v>
      </c>
      <c r="L219" s="84"/>
      <c r="M219" s="84">
        <v>-3747</v>
      </c>
      <c r="N219" s="84">
        <f t="shared" si="137"/>
        <v>163338</v>
      </c>
      <c r="P219" s="84"/>
      <c r="Q219" s="84"/>
      <c r="R219" s="84">
        <f t="shared" si="127"/>
        <v>163338</v>
      </c>
      <c r="S219" s="84"/>
      <c r="T219" s="84"/>
      <c r="U219" s="84">
        <f t="shared" si="138"/>
        <v>163338</v>
      </c>
      <c r="V219" s="84"/>
      <c r="W219" s="84"/>
      <c r="X219" s="84">
        <f t="shared" si="139"/>
        <v>163338</v>
      </c>
      <c r="AI219" s="84"/>
      <c r="AJ219" s="156">
        <f t="shared" si="140"/>
        <v>163338</v>
      </c>
      <c r="AK219" s="84"/>
      <c r="AL219" s="84"/>
      <c r="AM219" s="156">
        <f t="shared" si="141"/>
        <v>163338</v>
      </c>
    </row>
    <row r="220" spans="1:39" s="53" customFormat="1" ht="56.25">
      <c r="A220" s="64"/>
      <c r="B220" s="64"/>
      <c r="C220" s="65">
        <v>27</v>
      </c>
      <c r="D220" s="69" t="s">
        <v>405</v>
      </c>
      <c r="E220" s="67" t="s">
        <v>404</v>
      </c>
      <c r="F220" s="154"/>
      <c r="G220" s="154">
        <v>262269</v>
      </c>
      <c r="H220" s="84">
        <f t="shared" si="135"/>
        <v>262269</v>
      </c>
      <c r="I220" s="84"/>
      <c r="J220" s="84"/>
      <c r="K220" s="84">
        <f t="shared" si="136"/>
        <v>262269</v>
      </c>
      <c r="L220" s="84">
        <f>10363-169</f>
        <v>10194</v>
      </c>
      <c r="M220" s="84">
        <f>-2771</f>
        <v>-2771</v>
      </c>
      <c r="N220" s="84">
        <f t="shared" si="137"/>
        <v>269692</v>
      </c>
      <c r="P220" s="84"/>
      <c r="Q220" s="84"/>
      <c r="R220" s="84">
        <f t="shared" si="127"/>
        <v>269692</v>
      </c>
      <c r="S220" s="84"/>
      <c r="T220" s="84"/>
      <c r="U220" s="84">
        <f t="shared" si="138"/>
        <v>269692</v>
      </c>
      <c r="V220" s="84"/>
      <c r="W220" s="84"/>
      <c r="X220" s="84">
        <f t="shared" si="139"/>
        <v>269692</v>
      </c>
      <c r="AI220" s="84"/>
      <c r="AJ220" s="156">
        <f t="shared" si="140"/>
        <v>269692</v>
      </c>
      <c r="AK220" s="84"/>
      <c r="AL220" s="84"/>
      <c r="AM220" s="156">
        <f t="shared" si="141"/>
        <v>269692</v>
      </c>
    </row>
    <row r="221" spans="1:39" s="53" customFormat="1" ht="37.5">
      <c r="A221" s="64"/>
      <c r="B221" s="64"/>
      <c r="C221" s="65">
        <v>28</v>
      </c>
      <c r="D221" s="67" t="s">
        <v>126</v>
      </c>
      <c r="E221" s="67" t="s">
        <v>125</v>
      </c>
      <c r="F221" s="154"/>
      <c r="G221" s="154"/>
      <c r="H221" s="84"/>
      <c r="I221" s="84"/>
      <c r="J221" s="84"/>
      <c r="K221" s="84"/>
      <c r="L221" s="84">
        <v>3747</v>
      </c>
      <c r="M221" s="84"/>
      <c r="N221" s="84">
        <f t="shared" si="137"/>
        <v>3747</v>
      </c>
      <c r="P221" s="84"/>
      <c r="Q221" s="84"/>
      <c r="R221" s="84">
        <f t="shared" si="127"/>
        <v>3747</v>
      </c>
      <c r="S221" s="84"/>
      <c r="T221" s="84"/>
      <c r="U221" s="84">
        <f t="shared" si="138"/>
        <v>3747</v>
      </c>
      <c r="V221" s="84"/>
      <c r="W221" s="84"/>
      <c r="X221" s="84">
        <f t="shared" si="139"/>
        <v>3747</v>
      </c>
      <c r="AI221" s="84"/>
      <c r="AJ221" s="156">
        <f t="shared" si="140"/>
        <v>3747</v>
      </c>
      <c r="AK221" s="84"/>
      <c r="AL221" s="84"/>
      <c r="AM221" s="156">
        <f t="shared" si="141"/>
        <v>3747</v>
      </c>
    </row>
    <row r="222" spans="1:39" s="38" customFormat="1" ht="18.75">
      <c r="A222" s="44"/>
      <c r="B222" s="44"/>
      <c r="C222" s="45">
        <v>113</v>
      </c>
      <c r="D222" s="69" t="s">
        <v>204</v>
      </c>
      <c r="E222" s="47" t="s">
        <v>310</v>
      </c>
      <c r="F222" s="118"/>
      <c r="G222" s="118"/>
      <c r="H222" s="109">
        <f t="shared" si="135"/>
        <v>0</v>
      </c>
      <c r="I222" s="109"/>
      <c r="J222" s="109"/>
      <c r="K222" s="109">
        <f t="shared" si="136"/>
        <v>0</v>
      </c>
      <c r="L222" s="109"/>
      <c r="M222" s="109"/>
      <c r="N222" s="109">
        <f t="shared" si="137"/>
        <v>0</v>
      </c>
      <c r="O222" s="128"/>
      <c r="P222" s="109"/>
      <c r="Q222" s="109"/>
      <c r="R222" s="109">
        <f>O222+P222+Q222</f>
        <v>0</v>
      </c>
      <c r="S222" s="109"/>
      <c r="T222" s="109"/>
      <c r="U222" s="85">
        <f>R222+S222+T222</f>
        <v>0</v>
      </c>
      <c r="V222" s="85">
        <v>24018</v>
      </c>
      <c r="W222" s="85"/>
      <c r="X222" s="85">
        <f>U222+V222+W222</f>
        <v>24018</v>
      </c>
      <c r="AI222" s="85"/>
      <c r="AJ222" s="156">
        <f t="shared" si="140"/>
        <v>24018</v>
      </c>
      <c r="AK222" s="85"/>
      <c r="AL222" s="85"/>
      <c r="AM222" s="156">
        <f t="shared" si="141"/>
        <v>24018</v>
      </c>
    </row>
    <row r="223" spans="1:39" s="38" customFormat="1" ht="18.75">
      <c r="A223" s="56"/>
      <c r="B223" s="39">
        <v>258</v>
      </c>
      <c r="C223" s="63"/>
      <c r="D223" s="153" t="s">
        <v>365</v>
      </c>
      <c r="E223" s="42" t="s">
        <v>541</v>
      </c>
      <c r="F223" s="116">
        <f aca="true" t="shared" si="142" ref="F223:K223">F224+F225</f>
        <v>147000</v>
      </c>
      <c r="G223" s="116">
        <f t="shared" si="142"/>
        <v>42078</v>
      </c>
      <c r="H223" s="117">
        <f t="shared" si="142"/>
        <v>189078</v>
      </c>
      <c r="I223" s="117">
        <f t="shared" si="142"/>
        <v>0</v>
      </c>
      <c r="J223" s="117">
        <f t="shared" si="142"/>
        <v>0</v>
      </c>
      <c r="K223" s="117">
        <f t="shared" si="142"/>
        <v>189078</v>
      </c>
      <c r="L223" s="117">
        <f>L224+L225</f>
        <v>0</v>
      </c>
      <c r="M223" s="117">
        <f>M224+M225</f>
        <v>0</v>
      </c>
      <c r="N223" s="117">
        <f>N224+N225</f>
        <v>189078</v>
      </c>
      <c r="O223" s="128"/>
      <c r="P223" s="117">
        <f aca="true" t="shared" si="143" ref="P223:X223">P224+P225</f>
        <v>0</v>
      </c>
      <c r="Q223" s="117">
        <f t="shared" si="143"/>
        <v>0</v>
      </c>
      <c r="R223" s="117">
        <f t="shared" si="143"/>
        <v>189078</v>
      </c>
      <c r="S223" s="117">
        <f t="shared" si="143"/>
        <v>0</v>
      </c>
      <c r="T223" s="117">
        <f t="shared" si="143"/>
        <v>0</v>
      </c>
      <c r="U223" s="83">
        <f t="shared" si="143"/>
        <v>189078</v>
      </c>
      <c r="V223" s="83">
        <f t="shared" si="143"/>
        <v>0</v>
      </c>
      <c r="W223" s="83">
        <f t="shared" si="143"/>
        <v>0</v>
      </c>
      <c r="X223" s="83">
        <f t="shared" si="143"/>
        <v>189078</v>
      </c>
      <c r="AI223" s="83">
        <f>AI224+AI225</f>
        <v>0</v>
      </c>
      <c r="AJ223" s="83">
        <f>AJ224+AJ225</f>
        <v>189078</v>
      </c>
      <c r="AK223" s="83">
        <f>AK224+AK225</f>
        <v>0</v>
      </c>
      <c r="AL223" s="83">
        <f>AL224+AL225</f>
        <v>0</v>
      </c>
      <c r="AM223" s="83">
        <f>AM224+AM225</f>
        <v>189078</v>
      </c>
    </row>
    <row r="224" spans="1:39" s="53" customFormat="1" ht="93.75">
      <c r="A224" s="64"/>
      <c r="B224" s="64"/>
      <c r="C224" s="65">
        <v>10</v>
      </c>
      <c r="D224" s="67" t="s">
        <v>148</v>
      </c>
      <c r="E224" s="67" t="s">
        <v>147</v>
      </c>
      <c r="F224" s="118">
        <f>117000+30000</f>
        <v>147000</v>
      </c>
      <c r="G224" s="118"/>
      <c r="H224" s="109">
        <f>F224+G224</f>
        <v>147000</v>
      </c>
      <c r="I224" s="109"/>
      <c r="J224" s="109"/>
      <c r="K224" s="109">
        <f>H224+I224+J224</f>
        <v>147000</v>
      </c>
      <c r="L224" s="109"/>
      <c r="M224" s="109"/>
      <c r="N224" s="109">
        <f>K224+L224+M224</f>
        <v>147000</v>
      </c>
      <c r="O224" s="128"/>
      <c r="P224" s="109"/>
      <c r="Q224" s="109"/>
      <c r="R224" s="109">
        <f>N224+P224+Q224</f>
        <v>147000</v>
      </c>
      <c r="S224" s="109"/>
      <c r="T224" s="109"/>
      <c r="U224" s="84">
        <f>Q224+R224</f>
        <v>147000</v>
      </c>
      <c r="V224" s="84"/>
      <c r="W224" s="84"/>
      <c r="X224" s="84">
        <f>U224+V224+W224</f>
        <v>147000</v>
      </c>
      <c r="AI224" s="84"/>
      <c r="AJ224" s="156">
        <f t="shared" si="140"/>
        <v>147000</v>
      </c>
      <c r="AK224" s="84"/>
      <c r="AL224" s="84"/>
      <c r="AM224" s="156">
        <f t="shared" si="141"/>
        <v>147000</v>
      </c>
    </row>
    <row r="225" spans="1:39" s="38" customFormat="1" ht="56.25">
      <c r="A225" s="44"/>
      <c r="B225" s="44"/>
      <c r="C225" s="45">
        <v>99</v>
      </c>
      <c r="D225" s="152" t="s">
        <v>72</v>
      </c>
      <c r="E225" s="47" t="s">
        <v>71</v>
      </c>
      <c r="F225" s="118"/>
      <c r="G225" s="118">
        <v>42078</v>
      </c>
      <c r="H225" s="109">
        <f>F225+G225</f>
        <v>42078</v>
      </c>
      <c r="I225" s="109"/>
      <c r="J225" s="109"/>
      <c r="K225" s="109">
        <f>H225+I225+J225</f>
        <v>42078</v>
      </c>
      <c r="L225" s="109"/>
      <c r="M225" s="109"/>
      <c r="N225" s="109">
        <f>K225+L225+M225</f>
        <v>42078</v>
      </c>
      <c r="O225" s="128"/>
      <c r="P225" s="109"/>
      <c r="Q225" s="109"/>
      <c r="R225" s="109">
        <f>N225+P225+Q225</f>
        <v>42078</v>
      </c>
      <c r="S225" s="109"/>
      <c r="T225" s="109"/>
      <c r="U225" s="84">
        <f>Q225+R225</f>
        <v>42078</v>
      </c>
      <c r="V225" s="85"/>
      <c r="W225" s="85"/>
      <c r="X225" s="84">
        <f>U225+V225+W225</f>
        <v>42078</v>
      </c>
      <c r="AI225" s="85"/>
      <c r="AJ225" s="156">
        <f t="shared" si="140"/>
        <v>42078</v>
      </c>
      <c r="AK225" s="85"/>
      <c r="AL225" s="85"/>
      <c r="AM225" s="156">
        <f t="shared" si="141"/>
        <v>42078</v>
      </c>
    </row>
    <row r="226" spans="1:39" s="38" customFormat="1" ht="18.75">
      <c r="A226" s="56"/>
      <c r="B226" s="39">
        <v>271</v>
      </c>
      <c r="C226" s="63"/>
      <c r="D226" s="40" t="s">
        <v>401</v>
      </c>
      <c r="E226" s="42" t="s">
        <v>560</v>
      </c>
      <c r="F226" s="116">
        <f aca="true" t="shared" si="144" ref="F226:X226">F227</f>
        <v>0</v>
      </c>
      <c r="G226" s="116">
        <f t="shared" si="144"/>
        <v>2737577</v>
      </c>
      <c r="H226" s="117">
        <f t="shared" si="144"/>
        <v>2737577</v>
      </c>
      <c r="I226" s="117">
        <f t="shared" si="144"/>
        <v>0</v>
      </c>
      <c r="J226" s="117">
        <f t="shared" si="144"/>
        <v>0</v>
      </c>
      <c r="K226" s="117">
        <f t="shared" si="144"/>
        <v>2737577</v>
      </c>
      <c r="L226" s="117">
        <f t="shared" si="144"/>
        <v>44000</v>
      </c>
      <c r="M226" s="117">
        <f t="shared" si="144"/>
        <v>0</v>
      </c>
      <c r="N226" s="117">
        <f t="shared" si="144"/>
        <v>2781577</v>
      </c>
      <c r="O226" s="128"/>
      <c r="P226" s="117">
        <f t="shared" si="144"/>
        <v>0</v>
      </c>
      <c r="Q226" s="117">
        <f t="shared" si="144"/>
        <v>0</v>
      </c>
      <c r="R226" s="117">
        <f t="shared" si="144"/>
        <v>2781577</v>
      </c>
      <c r="S226" s="117">
        <f t="shared" si="144"/>
        <v>0</v>
      </c>
      <c r="T226" s="117">
        <f t="shared" si="144"/>
        <v>0</v>
      </c>
      <c r="U226" s="83">
        <f t="shared" si="144"/>
        <v>2781577</v>
      </c>
      <c r="V226" s="83">
        <f t="shared" si="144"/>
        <v>0</v>
      </c>
      <c r="W226" s="83">
        <f t="shared" si="144"/>
        <v>0</v>
      </c>
      <c r="X226" s="83">
        <f t="shared" si="144"/>
        <v>2781577</v>
      </c>
      <c r="AI226" s="83">
        <f>AI227</f>
        <v>0</v>
      </c>
      <c r="AJ226" s="83">
        <f>AJ227</f>
        <v>2781577</v>
      </c>
      <c r="AK226" s="83">
        <f>AK227</f>
        <v>120000</v>
      </c>
      <c r="AL226" s="83">
        <f>AL227</f>
        <v>-34087</v>
      </c>
      <c r="AM226" s="83">
        <f>AM227</f>
        <v>2867490</v>
      </c>
    </row>
    <row r="227" spans="1:39" s="38" customFormat="1" ht="56.25">
      <c r="A227" s="44"/>
      <c r="B227" s="44"/>
      <c r="C227" s="45">
        <v>29</v>
      </c>
      <c r="D227" s="47" t="s">
        <v>159</v>
      </c>
      <c r="E227" s="47" t="s">
        <v>158</v>
      </c>
      <c r="F227" s="118"/>
      <c r="G227" s="118">
        <v>2737577</v>
      </c>
      <c r="H227" s="109">
        <f>F227+G227</f>
        <v>2737577</v>
      </c>
      <c r="I227" s="109"/>
      <c r="J227" s="109"/>
      <c r="K227" s="109">
        <f>H227+I227+J227</f>
        <v>2737577</v>
      </c>
      <c r="L227" s="109">
        <v>44000</v>
      </c>
      <c r="M227" s="109"/>
      <c r="N227" s="109">
        <f>K227+L227+M227</f>
        <v>2781577</v>
      </c>
      <c r="O227" s="128"/>
      <c r="P227" s="109"/>
      <c r="Q227" s="109"/>
      <c r="R227" s="109">
        <f>N227+P227+Q227</f>
        <v>2781577</v>
      </c>
      <c r="S227" s="109"/>
      <c r="T227" s="109"/>
      <c r="U227" s="84">
        <f>Q227+R227</f>
        <v>2781577</v>
      </c>
      <c r="V227" s="84"/>
      <c r="W227" s="85"/>
      <c r="X227" s="84">
        <f>U227+V227+W227</f>
        <v>2781577</v>
      </c>
      <c r="AI227" s="84"/>
      <c r="AJ227" s="156">
        <f t="shared" si="140"/>
        <v>2781577</v>
      </c>
      <c r="AK227" s="84">
        <f>55000+65000</f>
        <v>120000</v>
      </c>
      <c r="AL227" s="84">
        <f>-34087</f>
        <v>-34087</v>
      </c>
      <c r="AM227" s="156">
        <f t="shared" si="141"/>
        <v>2867490</v>
      </c>
    </row>
    <row r="228" spans="1:39" s="38" customFormat="1" ht="37.5">
      <c r="A228" s="34">
        <v>11</v>
      </c>
      <c r="B228" s="34"/>
      <c r="C228" s="35"/>
      <c r="D228" s="165" t="s">
        <v>463</v>
      </c>
      <c r="E228" s="37" t="s">
        <v>20</v>
      </c>
      <c r="F228" s="116">
        <f aca="true" t="shared" si="145" ref="F228:K228">F229+F233+F239</f>
        <v>435817</v>
      </c>
      <c r="G228" s="116">
        <f t="shared" si="145"/>
        <v>0</v>
      </c>
      <c r="H228" s="117">
        <f t="shared" si="145"/>
        <v>435817</v>
      </c>
      <c r="I228" s="117">
        <f t="shared" si="145"/>
        <v>0</v>
      </c>
      <c r="J228" s="117">
        <f t="shared" si="145"/>
        <v>0</v>
      </c>
      <c r="K228" s="117">
        <f t="shared" si="145"/>
        <v>435817</v>
      </c>
      <c r="L228" s="117">
        <f>L229+L233+L239</f>
        <v>12859.2</v>
      </c>
      <c r="M228" s="117">
        <f>M229+M233+M239</f>
        <v>-2454</v>
      </c>
      <c r="N228" s="117">
        <f>N229+N233+N239</f>
        <v>446222.2</v>
      </c>
      <c r="O228" s="128"/>
      <c r="P228" s="117">
        <f aca="true" t="shared" si="146" ref="P228:U228">P229+P233+P239</f>
        <v>0</v>
      </c>
      <c r="Q228" s="117">
        <f t="shared" si="146"/>
        <v>0</v>
      </c>
      <c r="R228" s="117">
        <f t="shared" si="146"/>
        <v>446222.2</v>
      </c>
      <c r="S228" s="117">
        <f t="shared" si="146"/>
        <v>0</v>
      </c>
      <c r="T228" s="117">
        <f t="shared" si="146"/>
        <v>0</v>
      </c>
      <c r="U228" s="82">
        <f t="shared" si="146"/>
        <v>446222.2</v>
      </c>
      <c r="V228" s="82">
        <f>V229+V233+V239</f>
        <v>54802</v>
      </c>
      <c r="W228" s="82">
        <f>W229+W233+W239</f>
        <v>-1008.6</v>
      </c>
      <c r="X228" s="82">
        <f>X229+X233+X239</f>
        <v>500015.6</v>
      </c>
      <c r="AI228" s="82">
        <f>AI229+AI233+AI239</f>
        <v>0</v>
      </c>
      <c r="AJ228" s="82">
        <f>AJ229+AJ233+AJ239</f>
        <v>500015.6</v>
      </c>
      <c r="AK228" s="82">
        <f>AK229+AK233+AK239</f>
        <v>0</v>
      </c>
      <c r="AL228" s="82">
        <f>AL229+AL233+AL239</f>
        <v>0</v>
      </c>
      <c r="AM228" s="82">
        <f>AM229+AM233+AM239</f>
        <v>500015.6</v>
      </c>
    </row>
    <row r="229" spans="1:39" s="38" customFormat="1" ht="37.5">
      <c r="A229" s="39"/>
      <c r="B229" s="39">
        <v>267</v>
      </c>
      <c r="C229" s="40"/>
      <c r="D229" s="153" t="s">
        <v>464</v>
      </c>
      <c r="E229" s="42" t="s">
        <v>21</v>
      </c>
      <c r="F229" s="116">
        <f aca="true" t="shared" si="147" ref="F229:K229">F230+F231+F232</f>
        <v>33001</v>
      </c>
      <c r="G229" s="116">
        <f t="shared" si="147"/>
        <v>0</v>
      </c>
      <c r="H229" s="117">
        <f t="shared" si="147"/>
        <v>33001</v>
      </c>
      <c r="I229" s="117">
        <f t="shared" si="147"/>
        <v>0</v>
      </c>
      <c r="J229" s="117">
        <f t="shared" si="147"/>
        <v>0</v>
      </c>
      <c r="K229" s="117">
        <f t="shared" si="147"/>
        <v>33001</v>
      </c>
      <c r="L229" s="117">
        <f>L230+L231+L232</f>
        <v>2056</v>
      </c>
      <c r="M229" s="117">
        <f>M230+M231+M232</f>
        <v>0</v>
      </c>
      <c r="N229" s="117">
        <f>N230+N231+N232</f>
        <v>35057</v>
      </c>
      <c r="O229" s="128"/>
      <c r="P229" s="117">
        <f aca="true" t="shared" si="148" ref="P229:U229">P230+P231+P232</f>
        <v>0</v>
      </c>
      <c r="Q229" s="117">
        <f t="shared" si="148"/>
        <v>0</v>
      </c>
      <c r="R229" s="117">
        <f t="shared" si="148"/>
        <v>35057</v>
      </c>
      <c r="S229" s="117">
        <f t="shared" si="148"/>
        <v>0</v>
      </c>
      <c r="T229" s="117">
        <f t="shared" si="148"/>
        <v>0</v>
      </c>
      <c r="U229" s="83">
        <f t="shared" si="148"/>
        <v>35057</v>
      </c>
      <c r="V229" s="83">
        <f>V230+V231+V232</f>
        <v>2247</v>
      </c>
      <c r="W229" s="83">
        <f>W230+W231+W232</f>
        <v>-15</v>
      </c>
      <c r="X229" s="83">
        <f>X230+X231+X232</f>
        <v>37289</v>
      </c>
      <c r="AI229" s="83">
        <f>AI230+AI231+AI232</f>
        <v>0</v>
      </c>
      <c r="AJ229" s="83">
        <f>AJ230+AJ231+AJ232</f>
        <v>37289</v>
      </c>
      <c r="AK229" s="83">
        <f>AK230+AK231+AK232</f>
        <v>0</v>
      </c>
      <c r="AL229" s="83">
        <f>AL230+AL231+AL232</f>
        <v>0</v>
      </c>
      <c r="AM229" s="158">
        <f>AM230+AM231+AM232</f>
        <v>37289</v>
      </c>
    </row>
    <row r="230" spans="1:39" s="38" customFormat="1" ht="37.5">
      <c r="A230" s="44"/>
      <c r="B230" s="44"/>
      <c r="C230" s="45">
        <v>1</v>
      </c>
      <c r="D230" s="152" t="s">
        <v>465</v>
      </c>
      <c r="E230" s="47" t="s">
        <v>338</v>
      </c>
      <c r="F230" s="118">
        <v>30718</v>
      </c>
      <c r="G230" s="118"/>
      <c r="H230" s="109">
        <f>F230+G230</f>
        <v>30718</v>
      </c>
      <c r="I230" s="109"/>
      <c r="J230" s="109"/>
      <c r="K230" s="109">
        <f>H230+I230+J230</f>
        <v>30718</v>
      </c>
      <c r="L230" s="109">
        <f>768+1138</f>
        <v>1906</v>
      </c>
      <c r="M230" s="109"/>
      <c r="N230" s="109">
        <f>K230+L230+M230</f>
        <v>32624</v>
      </c>
      <c r="O230" s="128"/>
      <c r="P230" s="109"/>
      <c r="Q230" s="109"/>
      <c r="R230" s="109">
        <f aca="true" t="shared" si="149" ref="R230:R244">N230+P230+Q230</f>
        <v>32624</v>
      </c>
      <c r="S230" s="109"/>
      <c r="T230" s="109"/>
      <c r="U230" s="84">
        <f aca="true" t="shared" si="150" ref="U230:U244">Q230+R230</f>
        <v>32624</v>
      </c>
      <c r="V230" s="84">
        <f>2232-40</f>
        <v>2192</v>
      </c>
      <c r="W230" s="85"/>
      <c r="X230" s="84">
        <f aca="true" t="shared" si="151" ref="X230:X244">U230+V230+W230</f>
        <v>34816</v>
      </c>
      <c r="AI230" s="84"/>
      <c r="AJ230" s="156">
        <f aca="true" t="shared" si="152" ref="AJ230:AJ244">X230+AI230</f>
        <v>34816</v>
      </c>
      <c r="AK230" s="84"/>
      <c r="AL230" s="84"/>
      <c r="AM230" s="157">
        <f aca="true" t="shared" si="153" ref="AM230:AM244">AJ230+AK230+AL230</f>
        <v>34816</v>
      </c>
    </row>
    <row r="231" spans="1:39" s="38" customFormat="1" ht="18.75">
      <c r="A231" s="44"/>
      <c r="B231" s="44"/>
      <c r="C231" s="45">
        <v>2</v>
      </c>
      <c r="D231" s="152" t="s">
        <v>352</v>
      </c>
      <c r="E231" s="47" t="s">
        <v>537</v>
      </c>
      <c r="F231" s="118">
        <v>1983</v>
      </c>
      <c r="G231" s="118"/>
      <c r="H231" s="109">
        <f>F231+G231</f>
        <v>1983</v>
      </c>
      <c r="I231" s="109"/>
      <c r="J231" s="109"/>
      <c r="K231" s="109">
        <f>H231+I231+J231</f>
        <v>1983</v>
      </c>
      <c r="L231" s="109"/>
      <c r="M231" s="109"/>
      <c r="N231" s="109">
        <f>K231+L231+M231</f>
        <v>1983</v>
      </c>
      <c r="O231" s="128"/>
      <c r="P231" s="109"/>
      <c r="Q231" s="109"/>
      <c r="R231" s="109">
        <f t="shared" si="149"/>
        <v>1983</v>
      </c>
      <c r="S231" s="109"/>
      <c r="T231" s="109"/>
      <c r="U231" s="84">
        <f t="shared" si="150"/>
        <v>1983</v>
      </c>
      <c r="V231" s="84">
        <f>40+15</f>
        <v>55</v>
      </c>
      <c r="W231" s="85"/>
      <c r="X231" s="84">
        <f t="shared" si="151"/>
        <v>2038</v>
      </c>
      <c r="AI231" s="84"/>
      <c r="AJ231" s="156">
        <f t="shared" si="152"/>
        <v>2038</v>
      </c>
      <c r="AK231" s="84"/>
      <c r="AL231" s="84"/>
      <c r="AM231" s="156">
        <f t="shared" si="153"/>
        <v>2038</v>
      </c>
    </row>
    <row r="232" spans="1:39" s="38" customFormat="1" ht="18.75">
      <c r="A232" s="44"/>
      <c r="B232" s="44"/>
      <c r="C232" s="45">
        <v>4</v>
      </c>
      <c r="D232" s="152" t="s">
        <v>353</v>
      </c>
      <c r="E232" s="47" t="s">
        <v>296</v>
      </c>
      <c r="F232" s="118">
        <v>300</v>
      </c>
      <c r="G232" s="118"/>
      <c r="H232" s="109">
        <f>F232+G232</f>
        <v>300</v>
      </c>
      <c r="I232" s="109"/>
      <c r="J232" s="109"/>
      <c r="K232" s="109">
        <f>H232+I232+J232</f>
        <v>300</v>
      </c>
      <c r="L232" s="109">
        <v>150</v>
      </c>
      <c r="M232" s="109"/>
      <c r="N232" s="109">
        <f>K232+L232+M232</f>
        <v>450</v>
      </c>
      <c r="O232" s="128"/>
      <c r="P232" s="109"/>
      <c r="Q232" s="109"/>
      <c r="R232" s="109">
        <f t="shared" si="149"/>
        <v>450</v>
      </c>
      <c r="S232" s="109"/>
      <c r="T232" s="109"/>
      <c r="U232" s="84">
        <f t="shared" si="150"/>
        <v>450</v>
      </c>
      <c r="V232" s="84"/>
      <c r="W232" s="85">
        <f>-15</f>
        <v>-15</v>
      </c>
      <c r="X232" s="84">
        <f t="shared" si="151"/>
        <v>435</v>
      </c>
      <c r="AI232" s="84"/>
      <c r="AJ232" s="156">
        <f t="shared" si="152"/>
        <v>435</v>
      </c>
      <c r="AK232" s="84"/>
      <c r="AL232" s="84"/>
      <c r="AM232" s="156">
        <f t="shared" si="153"/>
        <v>435</v>
      </c>
    </row>
    <row r="233" spans="1:39" s="38" customFormat="1" ht="18.75">
      <c r="A233" s="39"/>
      <c r="B233" s="39">
        <v>271</v>
      </c>
      <c r="C233" s="40"/>
      <c r="D233" s="40" t="s">
        <v>401</v>
      </c>
      <c r="E233" s="42" t="s">
        <v>560</v>
      </c>
      <c r="F233" s="116">
        <f aca="true" t="shared" si="154" ref="F233:K233">F234+F236+F235+F237+F238</f>
        <v>265451</v>
      </c>
      <c r="G233" s="116">
        <f t="shared" si="154"/>
        <v>0</v>
      </c>
      <c r="H233" s="117">
        <f t="shared" si="154"/>
        <v>265451</v>
      </c>
      <c r="I233" s="117">
        <f t="shared" si="154"/>
        <v>0</v>
      </c>
      <c r="J233" s="117">
        <f t="shared" si="154"/>
        <v>0</v>
      </c>
      <c r="K233" s="117">
        <f t="shared" si="154"/>
        <v>265451</v>
      </c>
      <c r="L233" s="117">
        <f>L234+L236+L235+L237+L238</f>
        <v>10238.2</v>
      </c>
      <c r="M233" s="117">
        <f>M234+M236+M235+M237+M238</f>
        <v>-768</v>
      </c>
      <c r="N233" s="117">
        <f>N234+N236+N235+N237+N238</f>
        <v>274921.2</v>
      </c>
      <c r="O233" s="128"/>
      <c r="P233" s="117">
        <f aca="true" t="shared" si="155" ref="P233:U233">P234+P236+P235+P237+P238</f>
        <v>0</v>
      </c>
      <c r="Q233" s="117">
        <f t="shared" si="155"/>
        <v>0</v>
      </c>
      <c r="R233" s="117">
        <f t="shared" si="155"/>
        <v>274921.2</v>
      </c>
      <c r="S233" s="117">
        <f t="shared" si="155"/>
        <v>0</v>
      </c>
      <c r="T233" s="117">
        <f t="shared" si="155"/>
        <v>0</v>
      </c>
      <c r="U233" s="83">
        <f t="shared" si="155"/>
        <v>274921.2</v>
      </c>
      <c r="V233" s="83">
        <f>V234+V236+V235+V237+V238</f>
        <v>34478</v>
      </c>
      <c r="W233" s="83">
        <f>W234+W236+W235+W237+W238</f>
        <v>-257.6</v>
      </c>
      <c r="X233" s="83">
        <f>X234+X236+X235+X237+X238</f>
        <v>309141.6</v>
      </c>
      <c r="AI233" s="83">
        <f>AI234+AI236+AI235+AI237+AI238</f>
        <v>0</v>
      </c>
      <c r="AJ233" s="83">
        <f>AJ234+AJ236+AJ235+AJ237+AJ238</f>
        <v>309141.6</v>
      </c>
      <c r="AK233" s="83">
        <f>AK234+AK236+AK235+AK237+AK238</f>
        <v>0</v>
      </c>
      <c r="AL233" s="83">
        <f>AL234+AL236+AL235+AL237+AL238</f>
        <v>0</v>
      </c>
      <c r="AM233" s="83">
        <f>AM234+AM236+AM235+AM237+AM238</f>
        <v>309141.6</v>
      </c>
    </row>
    <row r="234" spans="1:39" s="38" customFormat="1" ht="37.5">
      <c r="A234" s="44"/>
      <c r="B234" s="44"/>
      <c r="C234" s="45">
        <v>1</v>
      </c>
      <c r="D234" s="152" t="s">
        <v>466</v>
      </c>
      <c r="E234" s="47" t="s">
        <v>339</v>
      </c>
      <c r="F234" s="118">
        <v>36747</v>
      </c>
      <c r="G234" s="118"/>
      <c r="H234" s="109">
        <f>F234+G234</f>
        <v>36747</v>
      </c>
      <c r="I234" s="109"/>
      <c r="J234" s="109"/>
      <c r="K234" s="109">
        <f>H234+I234+J234</f>
        <v>36747</v>
      </c>
      <c r="L234" s="109">
        <f>639</f>
        <v>639</v>
      </c>
      <c r="M234" s="109">
        <f>-768</f>
        <v>-768</v>
      </c>
      <c r="N234" s="109">
        <f>K234+L234+M234</f>
        <v>36618</v>
      </c>
      <c r="O234" s="128"/>
      <c r="P234" s="109"/>
      <c r="Q234" s="109"/>
      <c r="R234" s="109">
        <f t="shared" si="149"/>
        <v>36618</v>
      </c>
      <c r="S234" s="109"/>
      <c r="T234" s="109"/>
      <c r="U234" s="84">
        <f t="shared" si="150"/>
        <v>36618</v>
      </c>
      <c r="V234" s="84"/>
      <c r="W234" s="84"/>
      <c r="X234" s="84">
        <f t="shared" si="151"/>
        <v>36618</v>
      </c>
      <c r="AI234" s="84"/>
      <c r="AJ234" s="156">
        <f t="shared" si="152"/>
        <v>36618</v>
      </c>
      <c r="AK234" s="84"/>
      <c r="AL234" s="84"/>
      <c r="AM234" s="156">
        <f t="shared" si="153"/>
        <v>36618</v>
      </c>
    </row>
    <row r="235" spans="1:39" s="38" customFormat="1" ht="18.75">
      <c r="A235" s="44"/>
      <c r="B235" s="44"/>
      <c r="C235" s="45">
        <v>6</v>
      </c>
      <c r="D235" s="152" t="s">
        <v>353</v>
      </c>
      <c r="E235" s="47" t="s">
        <v>296</v>
      </c>
      <c r="F235" s="118">
        <v>450</v>
      </c>
      <c r="G235" s="118"/>
      <c r="H235" s="109">
        <f>F235+G235</f>
        <v>450</v>
      </c>
      <c r="I235" s="109"/>
      <c r="J235" s="109"/>
      <c r="K235" s="109">
        <f>H235+I235+J235</f>
        <v>450</v>
      </c>
      <c r="L235" s="109"/>
      <c r="M235" s="109"/>
      <c r="N235" s="109">
        <f>K235+L235+M235</f>
        <v>450</v>
      </c>
      <c r="O235" s="128"/>
      <c r="P235" s="109"/>
      <c r="Q235" s="109"/>
      <c r="R235" s="109">
        <f t="shared" si="149"/>
        <v>450</v>
      </c>
      <c r="S235" s="109"/>
      <c r="T235" s="109"/>
      <c r="U235" s="84">
        <f t="shared" si="150"/>
        <v>450</v>
      </c>
      <c r="V235" s="84"/>
      <c r="W235" s="84">
        <f>-37.6</f>
        <v>-37.6</v>
      </c>
      <c r="X235" s="84">
        <f t="shared" si="151"/>
        <v>412.4</v>
      </c>
      <c r="AI235" s="84"/>
      <c r="AJ235" s="156">
        <f t="shared" si="152"/>
        <v>412.4</v>
      </c>
      <c r="AK235" s="84"/>
      <c r="AL235" s="84"/>
      <c r="AM235" s="156">
        <f t="shared" si="153"/>
        <v>412.4</v>
      </c>
    </row>
    <row r="236" spans="1:39" s="38" customFormat="1" ht="18.75">
      <c r="A236" s="44"/>
      <c r="B236" s="44"/>
      <c r="C236" s="45">
        <v>23</v>
      </c>
      <c r="D236" s="45" t="s">
        <v>352</v>
      </c>
      <c r="E236" s="47" t="s">
        <v>537</v>
      </c>
      <c r="F236" s="118">
        <v>2160</v>
      </c>
      <c r="G236" s="118"/>
      <c r="H236" s="109">
        <f>F236+G236</f>
        <v>2160</v>
      </c>
      <c r="I236" s="109"/>
      <c r="J236" s="109"/>
      <c r="K236" s="109">
        <f>H236+I236+J236</f>
        <v>2160</v>
      </c>
      <c r="L236" s="109"/>
      <c r="M236" s="109"/>
      <c r="N236" s="109">
        <f>K236+L236+M236</f>
        <v>2160</v>
      </c>
      <c r="O236" s="128"/>
      <c r="P236" s="109"/>
      <c r="Q236" s="109"/>
      <c r="R236" s="109">
        <f t="shared" si="149"/>
        <v>2160</v>
      </c>
      <c r="S236" s="109"/>
      <c r="T236" s="109"/>
      <c r="U236" s="84">
        <f t="shared" si="150"/>
        <v>2160</v>
      </c>
      <c r="V236" s="84"/>
      <c r="W236" s="84">
        <f>-83-77</f>
        <v>-160</v>
      </c>
      <c r="X236" s="84">
        <f t="shared" si="151"/>
        <v>2000</v>
      </c>
      <c r="AI236" s="84"/>
      <c r="AJ236" s="156">
        <f t="shared" si="152"/>
        <v>2000</v>
      </c>
      <c r="AK236" s="84"/>
      <c r="AL236" s="84"/>
      <c r="AM236" s="156">
        <f t="shared" si="153"/>
        <v>2000</v>
      </c>
    </row>
    <row r="237" spans="1:39" s="38" customFormat="1" ht="18.75">
      <c r="A237" s="44"/>
      <c r="B237" s="44"/>
      <c r="C237" s="45">
        <v>113</v>
      </c>
      <c r="D237" s="152" t="s">
        <v>399</v>
      </c>
      <c r="E237" s="47" t="s">
        <v>310</v>
      </c>
      <c r="F237" s="118">
        <v>36000</v>
      </c>
      <c r="G237" s="118"/>
      <c r="H237" s="109">
        <f>F237+G237</f>
        <v>36000</v>
      </c>
      <c r="I237" s="109"/>
      <c r="J237" s="109"/>
      <c r="K237" s="109">
        <f>H237+I237+J237</f>
        <v>36000</v>
      </c>
      <c r="L237" s="109"/>
      <c r="M237" s="109"/>
      <c r="N237" s="109">
        <f>K237+L237+M237</f>
        <v>36000</v>
      </c>
      <c r="O237" s="128"/>
      <c r="P237" s="109"/>
      <c r="Q237" s="109"/>
      <c r="R237" s="109">
        <f t="shared" si="149"/>
        <v>36000</v>
      </c>
      <c r="S237" s="109"/>
      <c r="T237" s="109"/>
      <c r="U237" s="84">
        <f t="shared" si="150"/>
        <v>36000</v>
      </c>
      <c r="V237" s="84"/>
      <c r="W237" s="84"/>
      <c r="X237" s="84">
        <f t="shared" si="151"/>
        <v>36000</v>
      </c>
      <c r="AI237" s="84"/>
      <c r="AJ237" s="156">
        <f t="shared" si="152"/>
        <v>36000</v>
      </c>
      <c r="AK237" s="84"/>
      <c r="AL237" s="84"/>
      <c r="AM237" s="156">
        <f t="shared" si="153"/>
        <v>36000</v>
      </c>
    </row>
    <row r="238" spans="1:39" s="38" customFormat="1" ht="18.75">
      <c r="A238" s="44"/>
      <c r="B238" s="44"/>
      <c r="C238" s="45">
        <v>114</v>
      </c>
      <c r="D238" s="152" t="s">
        <v>400</v>
      </c>
      <c r="E238" s="47" t="s">
        <v>313</v>
      </c>
      <c r="F238" s="118">
        <f>226094-36000</f>
        <v>190094</v>
      </c>
      <c r="G238" s="118"/>
      <c r="H238" s="109">
        <f>F238+G238</f>
        <v>190094</v>
      </c>
      <c r="I238" s="109"/>
      <c r="J238" s="109"/>
      <c r="K238" s="109">
        <f>H238+I238+J238</f>
        <v>190094</v>
      </c>
      <c r="L238" s="109">
        <f>9599.2</f>
        <v>9599.2</v>
      </c>
      <c r="M238" s="109"/>
      <c r="N238" s="109">
        <f>K238+L238+M238</f>
        <v>199693.2</v>
      </c>
      <c r="O238" s="128"/>
      <c r="P238" s="109"/>
      <c r="Q238" s="109"/>
      <c r="R238" s="109">
        <f t="shared" si="149"/>
        <v>199693.2</v>
      </c>
      <c r="S238" s="109"/>
      <c r="T238" s="109"/>
      <c r="U238" s="84">
        <f t="shared" si="150"/>
        <v>199693.2</v>
      </c>
      <c r="V238" s="134">
        <f>17336+26900+45730+17142-45730-26900</f>
        <v>34478</v>
      </c>
      <c r="W238" s="84">
        <f>-60</f>
        <v>-60</v>
      </c>
      <c r="X238" s="155">
        <f t="shared" si="151"/>
        <v>234111.2</v>
      </c>
      <c r="AI238" s="134"/>
      <c r="AJ238" s="156">
        <f t="shared" si="152"/>
        <v>234111.2</v>
      </c>
      <c r="AK238" s="84"/>
      <c r="AL238" s="84"/>
      <c r="AM238" s="156">
        <f t="shared" si="153"/>
        <v>234111.2</v>
      </c>
    </row>
    <row r="239" spans="1:39" s="38" customFormat="1" ht="18.75">
      <c r="A239" s="39"/>
      <c r="B239" s="39">
        <v>272</v>
      </c>
      <c r="C239" s="40"/>
      <c r="D239" s="153" t="s">
        <v>467</v>
      </c>
      <c r="E239" s="42" t="s">
        <v>22</v>
      </c>
      <c r="F239" s="116">
        <f aca="true" t="shared" si="156" ref="F239:K239">F240+F241+F242+F243+F244</f>
        <v>137365</v>
      </c>
      <c r="G239" s="116">
        <f t="shared" si="156"/>
        <v>0</v>
      </c>
      <c r="H239" s="117">
        <f t="shared" si="156"/>
        <v>137365</v>
      </c>
      <c r="I239" s="117">
        <f t="shared" si="156"/>
        <v>0</v>
      </c>
      <c r="J239" s="117">
        <f t="shared" si="156"/>
        <v>0</v>
      </c>
      <c r="K239" s="117">
        <f t="shared" si="156"/>
        <v>137365</v>
      </c>
      <c r="L239" s="117">
        <f>L240+L241+L242+L243+L244</f>
        <v>565</v>
      </c>
      <c r="M239" s="117">
        <f>M240+M241+M242+M243+M244</f>
        <v>-1686</v>
      </c>
      <c r="N239" s="117">
        <f>N240+N241+N242+N243+N244</f>
        <v>136244</v>
      </c>
      <c r="O239" s="128"/>
      <c r="P239" s="117">
        <f aca="true" t="shared" si="157" ref="P239:U239">P240+P241+P242+P243+P244</f>
        <v>0</v>
      </c>
      <c r="Q239" s="117">
        <f t="shared" si="157"/>
        <v>0</v>
      </c>
      <c r="R239" s="117">
        <f t="shared" si="157"/>
        <v>136244</v>
      </c>
      <c r="S239" s="117">
        <f t="shared" si="157"/>
        <v>0</v>
      </c>
      <c r="T239" s="117">
        <f t="shared" si="157"/>
        <v>0</v>
      </c>
      <c r="U239" s="83">
        <f t="shared" si="157"/>
        <v>136244</v>
      </c>
      <c r="V239" s="83">
        <f>V240+V241+V242+V243+V244</f>
        <v>18077</v>
      </c>
      <c r="W239" s="83">
        <f>W240+W241+W242+W243+W244</f>
        <v>-736</v>
      </c>
      <c r="X239" s="83">
        <f>X240+X241+X242+X243+X244</f>
        <v>153585</v>
      </c>
      <c r="AI239" s="83">
        <f>AI240+AI241+AI242+AI243+AI244</f>
        <v>0</v>
      </c>
      <c r="AJ239" s="83">
        <f>AJ240+AJ241+AJ242+AJ243+AJ244</f>
        <v>153585</v>
      </c>
      <c r="AK239" s="83">
        <f>AK240+AK241+AK242+AK243+AK244</f>
        <v>0</v>
      </c>
      <c r="AL239" s="83">
        <f>AL240+AL241+AL242+AL243+AL244</f>
        <v>0</v>
      </c>
      <c r="AM239" s="83">
        <f>AM240+AM241+AM242+AM243+AM244</f>
        <v>153585</v>
      </c>
    </row>
    <row r="240" spans="1:39" s="38" customFormat="1" ht="37.5">
      <c r="A240" s="44"/>
      <c r="B240" s="44"/>
      <c r="C240" s="45">
        <v>1</v>
      </c>
      <c r="D240" s="152" t="s">
        <v>488</v>
      </c>
      <c r="E240" s="47" t="s">
        <v>340</v>
      </c>
      <c r="F240" s="118">
        <v>23257</v>
      </c>
      <c r="G240" s="118"/>
      <c r="H240" s="109">
        <f>F240+G240</f>
        <v>23257</v>
      </c>
      <c r="I240" s="109"/>
      <c r="J240" s="109"/>
      <c r="K240" s="109">
        <f>H240+I240+J240</f>
        <v>23257</v>
      </c>
      <c r="L240" s="109">
        <v>565</v>
      </c>
      <c r="M240" s="109">
        <f>-768-768</f>
        <v>-1536</v>
      </c>
      <c r="N240" s="109">
        <f>K240+L240+M240</f>
        <v>22286</v>
      </c>
      <c r="O240" s="128"/>
      <c r="P240" s="109"/>
      <c r="Q240" s="109"/>
      <c r="R240" s="109">
        <f t="shared" si="149"/>
        <v>22286</v>
      </c>
      <c r="S240" s="109"/>
      <c r="T240" s="109"/>
      <c r="U240" s="84">
        <f t="shared" si="150"/>
        <v>22286</v>
      </c>
      <c r="V240" s="84"/>
      <c r="W240" s="84"/>
      <c r="X240" s="84">
        <f t="shared" si="151"/>
        <v>22286</v>
      </c>
      <c r="AI240" s="84"/>
      <c r="AJ240" s="156">
        <f t="shared" si="152"/>
        <v>22286</v>
      </c>
      <c r="AK240" s="84"/>
      <c r="AL240" s="84"/>
      <c r="AM240" s="156">
        <f t="shared" si="153"/>
        <v>22286</v>
      </c>
    </row>
    <row r="241" spans="1:39" s="38" customFormat="1" ht="18.75">
      <c r="A241" s="44"/>
      <c r="B241" s="44"/>
      <c r="C241" s="45">
        <v>3</v>
      </c>
      <c r="D241" s="45" t="s">
        <v>352</v>
      </c>
      <c r="E241" s="47" t="s">
        <v>537</v>
      </c>
      <c r="F241" s="118">
        <v>2076</v>
      </c>
      <c r="G241" s="118"/>
      <c r="H241" s="109">
        <f>F241+G241</f>
        <v>2076</v>
      </c>
      <c r="I241" s="109"/>
      <c r="J241" s="109"/>
      <c r="K241" s="109">
        <f>H241+I241+J241</f>
        <v>2076</v>
      </c>
      <c r="L241" s="109"/>
      <c r="M241" s="109"/>
      <c r="N241" s="109">
        <f>K241+L241+M241</f>
        <v>2076</v>
      </c>
      <c r="O241" s="128"/>
      <c r="P241" s="109"/>
      <c r="Q241" s="109"/>
      <c r="R241" s="109">
        <f t="shared" si="149"/>
        <v>2076</v>
      </c>
      <c r="S241" s="109"/>
      <c r="T241" s="109"/>
      <c r="U241" s="84">
        <f t="shared" si="150"/>
        <v>2076</v>
      </c>
      <c r="V241" s="84"/>
      <c r="W241" s="84"/>
      <c r="X241" s="84">
        <f t="shared" si="151"/>
        <v>2076</v>
      </c>
      <c r="AI241" s="84"/>
      <c r="AJ241" s="156">
        <f t="shared" si="152"/>
        <v>2076</v>
      </c>
      <c r="AK241" s="84"/>
      <c r="AL241" s="84"/>
      <c r="AM241" s="156">
        <f t="shared" si="153"/>
        <v>2076</v>
      </c>
    </row>
    <row r="242" spans="1:39" s="38" customFormat="1" ht="18.75">
      <c r="A242" s="44"/>
      <c r="B242" s="44"/>
      <c r="C242" s="45">
        <v>5</v>
      </c>
      <c r="D242" s="152" t="s">
        <v>353</v>
      </c>
      <c r="E242" s="47" t="s">
        <v>296</v>
      </c>
      <c r="F242" s="118">
        <v>300</v>
      </c>
      <c r="G242" s="118"/>
      <c r="H242" s="109">
        <f>F242+G242</f>
        <v>300</v>
      </c>
      <c r="I242" s="109"/>
      <c r="J242" s="109"/>
      <c r="K242" s="109">
        <f>H242+I242+J242</f>
        <v>300</v>
      </c>
      <c r="L242" s="109"/>
      <c r="M242" s="109">
        <v>-150</v>
      </c>
      <c r="N242" s="109">
        <f>K242+L242+M242</f>
        <v>150</v>
      </c>
      <c r="O242" s="128"/>
      <c r="P242" s="109"/>
      <c r="Q242" s="109"/>
      <c r="R242" s="109">
        <f t="shared" si="149"/>
        <v>150</v>
      </c>
      <c r="S242" s="109"/>
      <c r="T242" s="109"/>
      <c r="U242" s="84">
        <f t="shared" si="150"/>
        <v>150</v>
      </c>
      <c r="V242" s="84">
        <v>77</v>
      </c>
      <c r="W242" s="84"/>
      <c r="X242" s="84">
        <f t="shared" si="151"/>
        <v>227</v>
      </c>
      <c r="AI242" s="84"/>
      <c r="AJ242" s="156">
        <f t="shared" si="152"/>
        <v>227</v>
      </c>
      <c r="AK242" s="84"/>
      <c r="AL242" s="84"/>
      <c r="AM242" s="156">
        <f t="shared" si="153"/>
        <v>227</v>
      </c>
    </row>
    <row r="243" spans="1:39" s="38" customFormat="1" ht="18.75">
      <c r="A243" s="44"/>
      <c r="B243" s="44"/>
      <c r="C243" s="45">
        <v>113</v>
      </c>
      <c r="D243" s="69" t="s">
        <v>204</v>
      </c>
      <c r="E243" s="47" t="s">
        <v>310</v>
      </c>
      <c r="F243" s="118">
        <v>15700</v>
      </c>
      <c r="G243" s="118"/>
      <c r="H243" s="109">
        <f>F243+G243</f>
        <v>15700</v>
      </c>
      <c r="I243" s="109"/>
      <c r="J243" s="109"/>
      <c r="K243" s="109">
        <f>H243+I243+J243</f>
        <v>15700</v>
      </c>
      <c r="L243" s="109"/>
      <c r="M243" s="109"/>
      <c r="N243" s="109">
        <f>K243+L243+M243</f>
        <v>15700</v>
      </c>
      <c r="O243" s="128"/>
      <c r="P243" s="109"/>
      <c r="Q243" s="109"/>
      <c r="R243" s="109">
        <f t="shared" si="149"/>
        <v>15700</v>
      </c>
      <c r="S243" s="109"/>
      <c r="T243" s="109"/>
      <c r="U243" s="84">
        <f t="shared" si="150"/>
        <v>15700</v>
      </c>
      <c r="V243" s="84">
        <v>18000</v>
      </c>
      <c r="W243" s="84">
        <f>-736</f>
        <v>-736</v>
      </c>
      <c r="X243" s="84">
        <f t="shared" si="151"/>
        <v>32964</v>
      </c>
      <c r="AI243" s="84"/>
      <c r="AJ243" s="156">
        <f t="shared" si="152"/>
        <v>32964</v>
      </c>
      <c r="AK243" s="84"/>
      <c r="AL243" s="84"/>
      <c r="AM243" s="156">
        <f t="shared" si="153"/>
        <v>32964</v>
      </c>
    </row>
    <row r="244" spans="1:39" s="38" customFormat="1" ht="18.75">
      <c r="A244" s="44"/>
      <c r="B244" s="44"/>
      <c r="C244" s="45">
        <v>114</v>
      </c>
      <c r="D244" s="152" t="s">
        <v>400</v>
      </c>
      <c r="E244" s="47" t="s">
        <v>313</v>
      </c>
      <c r="F244" s="118">
        <v>96032</v>
      </c>
      <c r="G244" s="118"/>
      <c r="H244" s="109">
        <f>F244+G244</f>
        <v>96032</v>
      </c>
      <c r="I244" s="109"/>
      <c r="J244" s="109"/>
      <c r="K244" s="109">
        <f>H244+I244+J244</f>
        <v>96032</v>
      </c>
      <c r="L244" s="109"/>
      <c r="M244" s="109"/>
      <c r="N244" s="109">
        <f>K244+L244+M244</f>
        <v>96032</v>
      </c>
      <c r="O244" s="128"/>
      <c r="P244" s="109"/>
      <c r="Q244" s="109"/>
      <c r="R244" s="109">
        <f t="shared" si="149"/>
        <v>96032</v>
      </c>
      <c r="S244" s="109"/>
      <c r="T244" s="109"/>
      <c r="U244" s="84">
        <f t="shared" si="150"/>
        <v>96032</v>
      </c>
      <c r="V244" s="84"/>
      <c r="W244" s="84"/>
      <c r="X244" s="84">
        <f t="shared" si="151"/>
        <v>96032</v>
      </c>
      <c r="AI244" s="84"/>
      <c r="AJ244" s="156">
        <f t="shared" si="152"/>
        <v>96032</v>
      </c>
      <c r="AK244" s="84"/>
      <c r="AL244" s="84"/>
      <c r="AM244" s="156">
        <f t="shared" si="153"/>
        <v>96032</v>
      </c>
    </row>
    <row r="245" spans="1:39" s="38" customFormat="1" ht="18.75">
      <c r="A245" s="34">
        <v>12</v>
      </c>
      <c r="B245" s="34"/>
      <c r="C245" s="35"/>
      <c r="D245" s="165" t="s">
        <v>489</v>
      </c>
      <c r="E245" s="37" t="s">
        <v>23</v>
      </c>
      <c r="F245" s="116">
        <f aca="true" t="shared" si="158" ref="F245:X245">F246</f>
        <v>554910</v>
      </c>
      <c r="G245" s="116">
        <f t="shared" si="158"/>
        <v>3156896</v>
      </c>
      <c r="H245" s="117">
        <f t="shared" si="158"/>
        <v>3711806</v>
      </c>
      <c r="I245" s="117">
        <f t="shared" si="158"/>
        <v>0</v>
      </c>
      <c r="J245" s="117">
        <f t="shared" si="158"/>
        <v>0</v>
      </c>
      <c r="K245" s="117">
        <f t="shared" si="158"/>
        <v>5051411</v>
      </c>
      <c r="L245" s="117">
        <f t="shared" si="158"/>
        <v>8998.8</v>
      </c>
      <c r="M245" s="117">
        <f t="shared" si="158"/>
        <v>0</v>
      </c>
      <c r="N245" s="117">
        <f t="shared" si="158"/>
        <v>5060409.8</v>
      </c>
      <c r="O245" s="128"/>
      <c r="P245" s="117">
        <f t="shared" si="158"/>
        <v>0</v>
      </c>
      <c r="Q245" s="117">
        <f t="shared" si="158"/>
        <v>0</v>
      </c>
      <c r="R245" s="117">
        <f t="shared" si="158"/>
        <v>5060409.8</v>
      </c>
      <c r="S245" s="117">
        <f t="shared" si="158"/>
        <v>0</v>
      </c>
      <c r="T245" s="117">
        <f t="shared" si="158"/>
        <v>0</v>
      </c>
      <c r="U245" s="82">
        <f t="shared" si="158"/>
        <v>5060409.8</v>
      </c>
      <c r="V245" s="82">
        <f t="shared" si="158"/>
        <v>68770</v>
      </c>
      <c r="W245" s="82">
        <f t="shared" si="158"/>
        <v>-114500</v>
      </c>
      <c r="X245" s="82">
        <f t="shared" si="158"/>
        <v>5014679.8</v>
      </c>
      <c r="AI245" s="82">
        <f>AI246</f>
        <v>0</v>
      </c>
      <c r="AJ245" s="82">
        <f>AJ246</f>
        <v>5014679.8</v>
      </c>
      <c r="AK245" s="82">
        <f>AK246</f>
        <v>30000</v>
      </c>
      <c r="AL245" s="82">
        <f>AL246</f>
        <v>0</v>
      </c>
      <c r="AM245" s="82">
        <f>AM246</f>
        <v>5044679.8</v>
      </c>
    </row>
    <row r="246" spans="1:39" s="38" customFormat="1" ht="37.5">
      <c r="A246" s="39"/>
      <c r="B246" s="39">
        <v>268</v>
      </c>
      <c r="C246" s="40"/>
      <c r="D246" s="153" t="s">
        <v>490</v>
      </c>
      <c r="E246" s="42" t="s">
        <v>24</v>
      </c>
      <c r="F246" s="117">
        <f aca="true" t="shared" si="159" ref="F246:N246">SUM(F247:F256)</f>
        <v>554910</v>
      </c>
      <c r="G246" s="117">
        <f t="shared" si="159"/>
        <v>3156896</v>
      </c>
      <c r="H246" s="117">
        <f t="shared" si="159"/>
        <v>3711806</v>
      </c>
      <c r="I246" s="117">
        <f t="shared" si="159"/>
        <v>0</v>
      </c>
      <c r="J246" s="117">
        <f t="shared" si="159"/>
        <v>0</v>
      </c>
      <c r="K246" s="117">
        <f t="shared" si="159"/>
        <v>5051411</v>
      </c>
      <c r="L246" s="117">
        <f t="shared" si="159"/>
        <v>8998.8</v>
      </c>
      <c r="M246" s="117">
        <f t="shared" si="159"/>
        <v>0</v>
      </c>
      <c r="N246" s="117">
        <f t="shared" si="159"/>
        <v>5060409.8</v>
      </c>
      <c r="O246" s="128"/>
      <c r="P246" s="117">
        <f aca="true" t="shared" si="160" ref="P246:U246">SUM(P247:P256)</f>
        <v>0</v>
      </c>
      <c r="Q246" s="117">
        <f t="shared" si="160"/>
        <v>0</v>
      </c>
      <c r="R246" s="117">
        <f t="shared" si="160"/>
        <v>5060409.8</v>
      </c>
      <c r="S246" s="117">
        <f t="shared" si="160"/>
        <v>0</v>
      </c>
      <c r="T246" s="117">
        <f t="shared" si="160"/>
        <v>0</v>
      </c>
      <c r="U246" s="83">
        <f t="shared" si="160"/>
        <v>5060409.8</v>
      </c>
      <c r="V246" s="83">
        <f>SUM(V247:V256)</f>
        <v>68770</v>
      </c>
      <c r="W246" s="83">
        <f>SUM(W247:W256)</f>
        <v>-114500</v>
      </c>
      <c r="X246" s="83">
        <f>SUM(X247:X256)</f>
        <v>5014679.8</v>
      </c>
      <c r="AI246" s="83">
        <f>SUM(AI247:AI256)</f>
        <v>0</v>
      </c>
      <c r="AJ246" s="83">
        <f>SUM(AJ247:AJ256)</f>
        <v>5014679.8</v>
      </c>
      <c r="AK246" s="83">
        <f>SUM(AK247:AK256)</f>
        <v>30000</v>
      </c>
      <c r="AL246" s="83">
        <f>SUM(AL247:AL256)</f>
        <v>0</v>
      </c>
      <c r="AM246" s="83">
        <f>SUM(AM247:AM256)</f>
        <v>5044679.8</v>
      </c>
    </row>
    <row r="247" spans="1:39" s="38" customFormat="1" ht="37.5">
      <c r="A247" s="44"/>
      <c r="B247" s="44"/>
      <c r="C247" s="45">
        <v>1</v>
      </c>
      <c r="D247" s="152" t="s">
        <v>492</v>
      </c>
      <c r="E247" s="47" t="s">
        <v>341</v>
      </c>
      <c r="F247" s="118">
        <v>30888</v>
      </c>
      <c r="G247" s="118"/>
      <c r="H247" s="109">
        <f aca="true" t="shared" si="161" ref="H247:H255">F247+G247</f>
        <v>30888</v>
      </c>
      <c r="I247" s="109"/>
      <c r="J247" s="109"/>
      <c r="K247" s="109">
        <f aca="true" t="shared" si="162" ref="K247:K255">H247+I247+J247</f>
        <v>30888</v>
      </c>
      <c r="L247" s="109">
        <v>840</v>
      </c>
      <c r="M247" s="109"/>
      <c r="N247" s="109">
        <f aca="true" t="shared" si="163" ref="N247:N256">K247+L247+M247</f>
        <v>31728</v>
      </c>
      <c r="O247" s="128"/>
      <c r="P247" s="109"/>
      <c r="Q247" s="109"/>
      <c r="R247" s="109">
        <f aca="true" t="shared" si="164" ref="R247:R256">N247+P247+Q247</f>
        <v>31728</v>
      </c>
      <c r="S247" s="109"/>
      <c r="T247" s="109"/>
      <c r="U247" s="84">
        <f aca="true" t="shared" si="165" ref="U247:U256">Q247+R247</f>
        <v>31728</v>
      </c>
      <c r="V247" s="84"/>
      <c r="W247" s="84"/>
      <c r="X247" s="84">
        <f aca="true" t="shared" si="166" ref="X247:X256">U247+V247+W247</f>
        <v>31728</v>
      </c>
      <c r="AI247" s="84"/>
      <c r="AJ247" s="156">
        <f aca="true" t="shared" si="167" ref="AJ247:AJ256">X247+AI247</f>
        <v>31728</v>
      </c>
      <c r="AK247" s="84"/>
      <c r="AL247" s="84"/>
      <c r="AM247" s="156">
        <f aca="true" t="shared" si="168" ref="AM247:AM256">AJ247+AK247+AL247</f>
        <v>31728</v>
      </c>
    </row>
    <row r="248" spans="1:39" s="38" customFormat="1" ht="18.75">
      <c r="A248" s="44"/>
      <c r="B248" s="44"/>
      <c r="C248" s="45">
        <v>2</v>
      </c>
      <c r="D248" s="45" t="s">
        <v>493</v>
      </c>
      <c r="E248" s="47" t="s">
        <v>342</v>
      </c>
      <c r="F248" s="118"/>
      <c r="G248" s="118">
        <v>628590</v>
      </c>
      <c r="H248" s="109">
        <f t="shared" si="161"/>
        <v>628590</v>
      </c>
      <c r="I248" s="109"/>
      <c r="J248" s="109"/>
      <c r="K248" s="109">
        <f t="shared" si="162"/>
        <v>628590</v>
      </c>
      <c r="L248" s="109"/>
      <c r="M248" s="109"/>
      <c r="N248" s="109">
        <f t="shared" si="163"/>
        <v>628590</v>
      </c>
      <c r="O248" s="128"/>
      <c r="P248" s="109"/>
      <c r="Q248" s="109"/>
      <c r="R248" s="109">
        <f t="shared" si="164"/>
        <v>628590</v>
      </c>
      <c r="S248" s="109"/>
      <c r="T248" s="109"/>
      <c r="U248" s="84">
        <f t="shared" si="165"/>
        <v>628590</v>
      </c>
      <c r="V248" s="85"/>
      <c r="W248" s="85"/>
      <c r="X248" s="84">
        <f t="shared" si="166"/>
        <v>628590</v>
      </c>
      <c r="AI248" s="85"/>
      <c r="AJ248" s="156">
        <f t="shared" si="167"/>
        <v>628590</v>
      </c>
      <c r="AK248" s="85"/>
      <c r="AL248" s="85"/>
      <c r="AM248" s="156">
        <f t="shared" si="168"/>
        <v>628590</v>
      </c>
    </row>
    <row r="249" spans="1:39" s="38" customFormat="1" ht="18.75">
      <c r="A249" s="44"/>
      <c r="B249" s="44"/>
      <c r="C249" s="45">
        <v>3</v>
      </c>
      <c r="D249" s="152" t="s">
        <v>494</v>
      </c>
      <c r="E249" s="47" t="s">
        <v>343</v>
      </c>
      <c r="F249" s="118">
        <v>332289</v>
      </c>
      <c r="G249" s="118">
        <f>1276661-100000</f>
        <v>1176661</v>
      </c>
      <c r="H249" s="109">
        <f t="shared" si="161"/>
        <v>1508950</v>
      </c>
      <c r="I249" s="109"/>
      <c r="J249" s="109"/>
      <c r="K249" s="109">
        <f t="shared" si="162"/>
        <v>1508950</v>
      </c>
      <c r="L249" s="109">
        <v>221.5</v>
      </c>
      <c r="M249" s="109"/>
      <c r="N249" s="109">
        <f t="shared" si="163"/>
        <v>1509171.5</v>
      </c>
      <c r="O249" s="128"/>
      <c r="P249" s="109"/>
      <c r="Q249" s="109"/>
      <c r="R249" s="109">
        <f t="shared" si="164"/>
        <v>1509171.5</v>
      </c>
      <c r="S249" s="109"/>
      <c r="T249" s="109"/>
      <c r="U249" s="84">
        <f t="shared" si="165"/>
        <v>1509171.5</v>
      </c>
      <c r="V249" s="84"/>
      <c r="W249" s="85"/>
      <c r="X249" s="84">
        <f t="shared" si="166"/>
        <v>1509171.5</v>
      </c>
      <c r="AI249" s="84"/>
      <c r="AJ249" s="156">
        <f t="shared" si="167"/>
        <v>1509171.5</v>
      </c>
      <c r="AK249" s="84"/>
      <c r="AL249" s="84"/>
      <c r="AM249" s="156">
        <f t="shared" si="168"/>
        <v>1509171.5</v>
      </c>
    </row>
    <row r="250" spans="1:39" s="38" customFormat="1" ht="18.75">
      <c r="A250" s="44"/>
      <c r="B250" s="44"/>
      <c r="C250" s="45">
        <v>6</v>
      </c>
      <c r="D250" s="45" t="s">
        <v>352</v>
      </c>
      <c r="E250" s="47" t="s">
        <v>537</v>
      </c>
      <c r="F250" s="118">
        <v>1933</v>
      </c>
      <c r="G250" s="118"/>
      <c r="H250" s="109">
        <f t="shared" si="161"/>
        <v>1933</v>
      </c>
      <c r="I250" s="109"/>
      <c r="J250" s="109"/>
      <c r="K250" s="109">
        <f t="shared" si="162"/>
        <v>1933</v>
      </c>
      <c r="L250" s="109"/>
      <c r="M250" s="109"/>
      <c r="N250" s="109">
        <f t="shared" si="163"/>
        <v>1933</v>
      </c>
      <c r="O250" s="128"/>
      <c r="P250" s="109"/>
      <c r="Q250" s="109"/>
      <c r="R250" s="109">
        <f t="shared" si="164"/>
        <v>1933</v>
      </c>
      <c r="S250" s="109"/>
      <c r="T250" s="109"/>
      <c r="U250" s="84">
        <f t="shared" si="165"/>
        <v>1933</v>
      </c>
      <c r="V250" s="85"/>
      <c r="W250" s="85"/>
      <c r="X250" s="84">
        <f t="shared" si="166"/>
        <v>1933</v>
      </c>
      <c r="AI250" s="85"/>
      <c r="AJ250" s="156">
        <f t="shared" si="167"/>
        <v>1933</v>
      </c>
      <c r="AK250" s="85"/>
      <c r="AL250" s="85"/>
      <c r="AM250" s="156">
        <f t="shared" si="168"/>
        <v>1933</v>
      </c>
    </row>
    <row r="251" spans="1:39" s="38" customFormat="1" ht="56.25">
      <c r="A251" s="44"/>
      <c r="B251" s="44"/>
      <c r="C251" s="45">
        <v>8</v>
      </c>
      <c r="D251" s="47" t="s">
        <v>485</v>
      </c>
      <c r="E251" s="152" t="s">
        <v>484</v>
      </c>
      <c r="F251" s="118"/>
      <c r="G251" s="118">
        <v>289355</v>
      </c>
      <c r="H251" s="109">
        <f t="shared" si="161"/>
        <v>289355</v>
      </c>
      <c r="I251" s="109"/>
      <c r="J251" s="109"/>
      <c r="K251" s="109">
        <f t="shared" si="162"/>
        <v>289355</v>
      </c>
      <c r="L251" s="109"/>
      <c r="M251" s="109"/>
      <c r="N251" s="109">
        <f t="shared" si="163"/>
        <v>289355</v>
      </c>
      <c r="O251" s="128"/>
      <c r="P251" s="109"/>
      <c r="Q251" s="109"/>
      <c r="R251" s="109">
        <f t="shared" si="164"/>
        <v>289355</v>
      </c>
      <c r="S251" s="109"/>
      <c r="T251" s="109"/>
      <c r="U251" s="84">
        <f t="shared" si="165"/>
        <v>289355</v>
      </c>
      <c r="V251" s="84"/>
      <c r="W251" s="85"/>
      <c r="X251" s="84">
        <f t="shared" si="166"/>
        <v>289355</v>
      </c>
      <c r="AI251" s="84"/>
      <c r="AJ251" s="156">
        <f t="shared" si="167"/>
        <v>289355</v>
      </c>
      <c r="AK251" s="84"/>
      <c r="AL251" s="84"/>
      <c r="AM251" s="157">
        <f t="shared" si="168"/>
        <v>289355</v>
      </c>
    </row>
    <row r="252" spans="1:39" s="53" customFormat="1" ht="105.75" customHeight="1">
      <c r="A252" s="64"/>
      <c r="B252" s="64"/>
      <c r="C252" s="65">
        <v>15</v>
      </c>
      <c r="D252" s="166" t="s">
        <v>154</v>
      </c>
      <c r="E252" s="166" t="s">
        <v>155</v>
      </c>
      <c r="F252" s="118"/>
      <c r="G252" s="118"/>
      <c r="H252" s="109"/>
      <c r="I252" s="109"/>
      <c r="J252" s="109"/>
      <c r="K252" s="109">
        <v>349269</v>
      </c>
      <c r="L252" s="109"/>
      <c r="M252" s="109"/>
      <c r="N252" s="109">
        <f t="shared" si="163"/>
        <v>349269</v>
      </c>
      <c r="O252" s="130"/>
      <c r="P252" s="109"/>
      <c r="Q252" s="109"/>
      <c r="R252" s="109">
        <f t="shared" si="164"/>
        <v>349269</v>
      </c>
      <c r="S252" s="109"/>
      <c r="T252" s="109"/>
      <c r="U252" s="84">
        <f t="shared" si="165"/>
        <v>349269</v>
      </c>
      <c r="V252" s="84"/>
      <c r="W252" s="84"/>
      <c r="X252" s="84">
        <f t="shared" si="166"/>
        <v>349269</v>
      </c>
      <c r="AI252" s="84"/>
      <c r="AJ252" s="156">
        <f t="shared" si="167"/>
        <v>349269</v>
      </c>
      <c r="AK252" s="84">
        <v>30000</v>
      </c>
      <c r="AL252" s="84"/>
      <c r="AM252" s="157">
        <f t="shared" si="168"/>
        <v>379269</v>
      </c>
    </row>
    <row r="253" spans="1:39" s="53" customFormat="1" ht="93.75">
      <c r="A253" s="64"/>
      <c r="B253" s="64"/>
      <c r="C253" s="65">
        <v>16</v>
      </c>
      <c r="D253" s="166" t="s">
        <v>156</v>
      </c>
      <c r="E253" s="166" t="s">
        <v>157</v>
      </c>
      <c r="F253" s="118"/>
      <c r="G253" s="118"/>
      <c r="H253" s="109"/>
      <c r="I253" s="109"/>
      <c r="J253" s="109"/>
      <c r="K253" s="109">
        <v>990336</v>
      </c>
      <c r="L253" s="109"/>
      <c r="M253" s="109"/>
      <c r="N253" s="109">
        <f t="shared" si="163"/>
        <v>990336</v>
      </c>
      <c r="O253" s="130"/>
      <c r="P253" s="109"/>
      <c r="Q253" s="109"/>
      <c r="R253" s="109">
        <f t="shared" si="164"/>
        <v>990336</v>
      </c>
      <c r="S253" s="109"/>
      <c r="T253" s="109"/>
      <c r="U253" s="84">
        <f t="shared" si="165"/>
        <v>990336</v>
      </c>
      <c r="V253" s="84">
        <f>68770</f>
        <v>68770</v>
      </c>
      <c r="W253" s="84"/>
      <c r="X253" s="84">
        <f t="shared" si="166"/>
        <v>1059106</v>
      </c>
      <c r="AI253" s="84"/>
      <c r="AJ253" s="156">
        <f t="shared" si="167"/>
        <v>1059106</v>
      </c>
      <c r="AK253" s="84"/>
      <c r="AL253" s="84"/>
      <c r="AM253" s="156">
        <f t="shared" si="168"/>
        <v>1059106</v>
      </c>
    </row>
    <row r="254" spans="1:39" s="38" customFormat="1" ht="18.75" hidden="1">
      <c r="A254" s="44"/>
      <c r="B254" s="44"/>
      <c r="C254" s="45">
        <v>12</v>
      </c>
      <c r="D254" s="152" t="s">
        <v>353</v>
      </c>
      <c r="E254" s="47" t="s">
        <v>296</v>
      </c>
      <c r="F254" s="118"/>
      <c r="G254" s="118"/>
      <c r="H254" s="109">
        <f t="shared" si="161"/>
        <v>0</v>
      </c>
      <c r="I254" s="109"/>
      <c r="J254" s="109"/>
      <c r="K254" s="109">
        <f t="shared" si="162"/>
        <v>0</v>
      </c>
      <c r="L254" s="109"/>
      <c r="M254" s="109"/>
      <c r="N254" s="109">
        <f t="shared" si="163"/>
        <v>0</v>
      </c>
      <c r="O254" s="128"/>
      <c r="P254" s="109"/>
      <c r="Q254" s="109"/>
      <c r="R254" s="109">
        <f t="shared" si="164"/>
        <v>0</v>
      </c>
      <c r="S254" s="109"/>
      <c r="T254" s="109"/>
      <c r="U254" s="84">
        <f t="shared" si="165"/>
        <v>0</v>
      </c>
      <c r="V254" s="85"/>
      <c r="W254" s="85"/>
      <c r="X254" s="84">
        <f t="shared" si="166"/>
        <v>0</v>
      </c>
      <c r="AI254" s="85"/>
      <c r="AJ254" s="156">
        <f t="shared" si="167"/>
        <v>0</v>
      </c>
      <c r="AK254" s="85"/>
      <c r="AL254" s="85"/>
      <c r="AM254" s="156">
        <f t="shared" si="168"/>
        <v>0</v>
      </c>
    </row>
    <row r="255" spans="1:39" s="38" customFormat="1" ht="56.25">
      <c r="A255" s="44"/>
      <c r="B255" s="44"/>
      <c r="C255" s="45">
        <v>13</v>
      </c>
      <c r="D255" s="152" t="s">
        <v>495</v>
      </c>
      <c r="E255" s="47" t="s">
        <v>288</v>
      </c>
      <c r="F255" s="118">
        <v>189800</v>
      </c>
      <c r="G255" s="118">
        <f>1062270+20</f>
        <v>1062290</v>
      </c>
      <c r="H255" s="109">
        <f t="shared" si="161"/>
        <v>1252090</v>
      </c>
      <c r="I255" s="109"/>
      <c r="J255" s="109"/>
      <c r="K255" s="109">
        <f t="shared" si="162"/>
        <v>1252090</v>
      </c>
      <c r="L255" s="109"/>
      <c r="M255" s="109"/>
      <c r="N255" s="109">
        <f t="shared" si="163"/>
        <v>1252090</v>
      </c>
      <c r="O255" s="128"/>
      <c r="P255" s="109"/>
      <c r="Q255" s="109"/>
      <c r="R255" s="109">
        <f t="shared" si="164"/>
        <v>1252090</v>
      </c>
      <c r="S255" s="109"/>
      <c r="T255" s="109"/>
      <c r="U255" s="84">
        <f t="shared" si="165"/>
        <v>1252090</v>
      </c>
      <c r="V255" s="85"/>
      <c r="W255" s="85">
        <f>-84500-30000</f>
        <v>-114500</v>
      </c>
      <c r="X255" s="84">
        <f t="shared" si="166"/>
        <v>1137590</v>
      </c>
      <c r="AI255" s="85"/>
      <c r="AJ255" s="156">
        <f t="shared" si="167"/>
        <v>1137590</v>
      </c>
      <c r="AK255" s="85"/>
      <c r="AL255" s="85"/>
      <c r="AM255" s="156">
        <f t="shared" si="168"/>
        <v>1137590</v>
      </c>
    </row>
    <row r="256" spans="1:39" s="53" customFormat="1" ht="18.75">
      <c r="A256" s="64"/>
      <c r="B256" s="64"/>
      <c r="C256" s="65">
        <v>113</v>
      </c>
      <c r="D256" s="69" t="s">
        <v>204</v>
      </c>
      <c r="E256" s="67" t="s">
        <v>117</v>
      </c>
      <c r="F256" s="118"/>
      <c r="G256" s="118"/>
      <c r="H256" s="109"/>
      <c r="I256" s="109"/>
      <c r="J256" s="109"/>
      <c r="K256" s="109"/>
      <c r="L256" s="109">
        <v>7937.3</v>
      </c>
      <c r="M256" s="109"/>
      <c r="N256" s="109">
        <f t="shared" si="163"/>
        <v>7937.3</v>
      </c>
      <c r="O256" s="128"/>
      <c r="P256" s="109"/>
      <c r="Q256" s="109"/>
      <c r="R256" s="109">
        <f t="shared" si="164"/>
        <v>7937.3</v>
      </c>
      <c r="S256" s="109"/>
      <c r="T256" s="109"/>
      <c r="U256" s="84">
        <f t="shared" si="165"/>
        <v>7937.3</v>
      </c>
      <c r="V256" s="84"/>
      <c r="W256" s="84"/>
      <c r="X256" s="84">
        <f t="shared" si="166"/>
        <v>7937.3</v>
      </c>
      <c r="AI256" s="84"/>
      <c r="AJ256" s="156">
        <f t="shared" si="167"/>
        <v>7937.3</v>
      </c>
      <c r="AK256" s="84"/>
      <c r="AL256" s="84"/>
      <c r="AM256" s="156">
        <f t="shared" si="168"/>
        <v>7937.3</v>
      </c>
    </row>
    <row r="257" spans="1:39" s="38" customFormat="1" ht="18.75">
      <c r="A257" s="34">
        <v>13</v>
      </c>
      <c r="B257" s="34"/>
      <c r="C257" s="35"/>
      <c r="D257" s="165" t="s">
        <v>496</v>
      </c>
      <c r="E257" s="37" t="s">
        <v>25</v>
      </c>
      <c r="F257" s="116">
        <f aca="true" t="shared" si="169" ref="F257:N257">F258+F261+F263</f>
        <v>256857</v>
      </c>
      <c r="G257" s="116">
        <f t="shared" si="169"/>
        <v>0</v>
      </c>
      <c r="H257" s="117">
        <f t="shared" si="169"/>
        <v>256857</v>
      </c>
      <c r="I257" s="117">
        <f t="shared" si="169"/>
        <v>0</v>
      </c>
      <c r="J257" s="117">
        <f t="shared" si="169"/>
        <v>0</v>
      </c>
      <c r="K257" s="117">
        <f t="shared" si="169"/>
        <v>256857</v>
      </c>
      <c r="L257" s="117">
        <f>L258+L261+L263+L270+L272</f>
        <v>2788</v>
      </c>
      <c r="M257" s="117">
        <f t="shared" si="169"/>
        <v>0</v>
      </c>
      <c r="N257" s="117">
        <f t="shared" si="169"/>
        <v>258367</v>
      </c>
      <c r="O257" s="128"/>
      <c r="P257" s="117">
        <f>P258+P261+P263</f>
        <v>0</v>
      </c>
      <c r="Q257" s="117">
        <f>Q258+Q261+Q263</f>
        <v>0</v>
      </c>
      <c r="R257" s="117">
        <f>R258+R261+R263+R270</f>
        <v>258367</v>
      </c>
      <c r="S257" s="117">
        <f aca="true" t="shared" si="170" ref="S257:X257">S258+S261+S263+S270+S272</f>
        <v>645164</v>
      </c>
      <c r="T257" s="117">
        <f t="shared" si="170"/>
        <v>75000</v>
      </c>
      <c r="U257" s="82">
        <f t="shared" si="170"/>
        <v>903531</v>
      </c>
      <c r="V257" s="82">
        <f t="shared" si="170"/>
        <v>9500</v>
      </c>
      <c r="W257" s="82">
        <f t="shared" si="170"/>
        <v>0</v>
      </c>
      <c r="X257" s="82">
        <f t="shared" si="170"/>
        <v>913031</v>
      </c>
      <c r="AI257" s="82">
        <f>AI258+AI261+AI263+AI270+AI272</f>
        <v>0</v>
      </c>
      <c r="AJ257" s="82">
        <f>AJ258+AJ261+AJ263+AJ270+AJ272</f>
        <v>913031</v>
      </c>
      <c r="AK257" s="82">
        <f>AK258+AK261+AK263+AK270+AK272</f>
        <v>0</v>
      </c>
      <c r="AL257" s="82">
        <f>AL258+AL261+AL263+AL270+AL272</f>
        <v>0</v>
      </c>
      <c r="AM257" s="82">
        <f>AM258+AM261+AM263+AM270+AM272</f>
        <v>913031</v>
      </c>
    </row>
    <row r="258" spans="1:39" s="38" customFormat="1" ht="18.75">
      <c r="A258" s="39"/>
      <c r="B258" s="39">
        <v>257</v>
      </c>
      <c r="C258" s="40"/>
      <c r="D258" s="40" t="s">
        <v>362</v>
      </c>
      <c r="E258" s="42" t="s">
        <v>539</v>
      </c>
      <c r="F258" s="116">
        <f>F259</f>
        <v>154800</v>
      </c>
      <c r="G258" s="116">
        <f>G259</f>
        <v>0</v>
      </c>
      <c r="H258" s="117">
        <f>H259</f>
        <v>154800</v>
      </c>
      <c r="I258" s="117">
        <f>I259</f>
        <v>0</v>
      </c>
      <c r="J258" s="117">
        <f>J259</f>
        <v>0</v>
      </c>
      <c r="K258" s="117">
        <f>K259+K260</f>
        <v>154800</v>
      </c>
      <c r="L258" s="117">
        <f>L259+L260</f>
        <v>0</v>
      </c>
      <c r="M258" s="117">
        <f>M259+M260</f>
        <v>0</v>
      </c>
      <c r="N258" s="117">
        <f>N259+N260</f>
        <v>154800</v>
      </c>
      <c r="O258" s="128"/>
      <c r="P258" s="117">
        <f aca="true" t="shared" si="171" ref="P258:U258">P259+P260</f>
        <v>0</v>
      </c>
      <c r="Q258" s="117">
        <f t="shared" si="171"/>
        <v>0</v>
      </c>
      <c r="R258" s="117">
        <f t="shared" si="171"/>
        <v>154800</v>
      </c>
      <c r="S258" s="117">
        <f t="shared" si="171"/>
        <v>0</v>
      </c>
      <c r="T258" s="117">
        <f t="shared" si="171"/>
        <v>0</v>
      </c>
      <c r="U258" s="83">
        <f t="shared" si="171"/>
        <v>154800</v>
      </c>
      <c r="V258" s="83">
        <f>V259+V260</f>
        <v>9500</v>
      </c>
      <c r="W258" s="83">
        <f>W259+W260</f>
        <v>0</v>
      </c>
      <c r="X258" s="83">
        <f>X259+X260</f>
        <v>164300</v>
      </c>
      <c r="AI258" s="83">
        <f>AI259+AI260</f>
        <v>0</v>
      </c>
      <c r="AJ258" s="83">
        <f>AJ259+AJ260</f>
        <v>164300</v>
      </c>
      <c r="AK258" s="83">
        <f>AK259+AK260</f>
        <v>0</v>
      </c>
      <c r="AL258" s="83">
        <f>AL259+AL260</f>
        <v>0</v>
      </c>
      <c r="AM258" s="83">
        <f>AM259+AM260</f>
        <v>164300</v>
      </c>
    </row>
    <row r="259" spans="1:39" s="38" customFormat="1" ht="18.75">
      <c r="A259" s="44"/>
      <c r="B259" s="44"/>
      <c r="C259" s="45">
        <v>12</v>
      </c>
      <c r="D259" s="45" t="s">
        <v>497</v>
      </c>
      <c r="E259" s="47" t="s">
        <v>27</v>
      </c>
      <c r="F259" s="118">
        <v>154800</v>
      </c>
      <c r="G259" s="118"/>
      <c r="H259" s="109">
        <f>F259+G259</f>
        <v>154800</v>
      </c>
      <c r="I259" s="109"/>
      <c r="J259" s="109"/>
      <c r="K259" s="109">
        <f>H259+I259+J259</f>
        <v>154800</v>
      </c>
      <c r="L259" s="109"/>
      <c r="M259" s="109"/>
      <c r="N259" s="109">
        <f>K259+L259+M259</f>
        <v>154800</v>
      </c>
      <c r="O259" s="128"/>
      <c r="P259" s="109"/>
      <c r="Q259" s="109"/>
      <c r="R259" s="109">
        <f>N259+P259+Q259</f>
        <v>154800</v>
      </c>
      <c r="S259" s="109"/>
      <c r="T259" s="109"/>
      <c r="U259" s="84">
        <f>Q259+R259</f>
        <v>154800</v>
      </c>
      <c r="V259" s="85">
        <v>9500</v>
      </c>
      <c r="W259" s="85"/>
      <c r="X259" s="84">
        <f>U259+V259+W259</f>
        <v>164300</v>
      </c>
      <c r="AI259" s="85"/>
      <c r="AJ259" s="156">
        <f>X259+AI259</f>
        <v>164300</v>
      </c>
      <c r="AK259" s="85"/>
      <c r="AL259" s="85"/>
      <c r="AM259" s="156">
        <f>AJ259+AK259+AL259</f>
        <v>164300</v>
      </c>
    </row>
    <row r="260" spans="1:39" s="53" customFormat="1" ht="18.75" hidden="1">
      <c r="A260" s="64"/>
      <c r="B260" s="64"/>
      <c r="C260" s="65"/>
      <c r="D260" s="69"/>
      <c r="E260" s="67"/>
      <c r="F260" s="118"/>
      <c r="G260" s="118"/>
      <c r="H260" s="109"/>
      <c r="I260" s="109"/>
      <c r="J260" s="109"/>
      <c r="K260" s="109"/>
      <c r="L260" s="109"/>
      <c r="M260" s="109"/>
      <c r="N260" s="109"/>
      <c r="O260" s="128"/>
      <c r="P260" s="109"/>
      <c r="Q260" s="109"/>
      <c r="R260" s="109"/>
      <c r="S260" s="109"/>
      <c r="T260" s="109"/>
      <c r="U260" s="84"/>
      <c r="V260" s="84"/>
      <c r="W260" s="84"/>
      <c r="X260" s="84"/>
      <c r="AI260" s="84"/>
      <c r="AJ260" s="84"/>
      <c r="AK260" s="84"/>
      <c r="AL260" s="84"/>
      <c r="AM260" s="84"/>
    </row>
    <row r="261" spans="1:39" s="38" customFormat="1" ht="18.75">
      <c r="A261" s="39"/>
      <c r="B261" s="39">
        <v>258</v>
      </c>
      <c r="C261" s="40"/>
      <c r="D261" s="42" t="s">
        <v>365</v>
      </c>
      <c r="E261" s="42" t="s">
        <v>541</v>
      </c>
      <c r="F261" s="116">
        <f aca="true" t="shared" si="172" ref="F261:X261">F262</f>
        <v>25000</v>
      </c>
      <c r="G261" s="116">
        <f t="shared" si="172"/>
        <v>0</v>
      </c>
      <c r="H261" s="117">
        <f t="shared" si="172"/>
        <v>25000</v>
      </c>
      <c r="I261" s="117">
        <f t="shared" si="172"/>
        <v>0</v>
      </c>
      <c r="J261" s="117">
        <f t="shared" si="172"/>
        <v>0</v>
      </c>
      <c r="K261" s="117">
        <f t="shared" si="172"/>
        <v>25000</v>
      </c>
      <c r="L261" s="117">
        <f t="shared" si="172"/>
        <v>0</v>
      </c>
      <c r="M261" s="117">
        <f t="shared" si="172"/>
        <v>0</v>
      </c>
      <c r="N261" s="117">
        <f t="shared" si="172"/>
        <v>25000</v>
      </c>
      <c r="O261" s="128"/>
      <c r="P261" s="117">
        <f t="shared" si="172"/>
        <v>0</v>
      </c>
      <c r="Q261" s="117">
        <f t="shared" si="172"/>
        <v>0</v>
      </c>
      <c r="R261" s="117">
        <f t="shared" si="172"/>
        <v>25000</v>
      </c>
      <c r="S261" s="117">
        <f t="shared" si="172"/>
        <v>0</v>
      </c>
      <c r="T261" s="117">
        <f t="shared" si="172"/>
        <v>0</v>
      </c>
      <c r="U261" s="83">
        <f t="shared" si="172"/>
        <v>25000</v>
      </c>
      <c r="V261" s="83">
        <f t="shared" si="172"/>
        <v>0</v>
      </c>
      <c r="W261" s="83">
        <f t="shared" si="172"/>
        <v>0</v>
      </c>
      <c r="X261" s="83">
        <f t="shared" si="172"/>
        <v>25000</v>
      </c>
      <c r="AI261" s="83">
        <f>AI262</f>
        <v>0</v>
      </c>
      <c r="AJ261" s="83">
        <f>AJ262</f>
        <v>25000</v>
      </c>
      <c r="AK261" s="83">
        <f>AK262</f>
        <v>0</v>
      </c>
      <c r="AL261" s="83">
        <f>AL262</f>
        <v>0</v>
      </c>
      <c r="AM261" s="83">
        <f>AM262</f>
        <v>25000</v>
      </c>
    </row>
    <row r="262" spans="1:39" s="38" customFormat="1" ht="56.25">
      <c r="A262" s="44"/>
      <c r="B262" s="44"/>
      <c r="C262" s="45">
        <v>3</v>
      </c>
      <c r="D262" s="152" t="s">
        <v>498</v>
      </c>
      <c r="E262" s="47" t="s">
        <v>344</v>
      </c>
      <c r="F262" s="118">
        <v>25000</v>
      </c>
      <c r="G262" s="118"/>
      <c r="H262" s="109">
        <f>F262+G262</f>
        <v>25000</v>
      </c>
      <c r="I262" s="109"/>
      <c r="J262" s="109"/>
      <c r="K262" s="109">
        <f>H262+I262+J262</f>
        <v>25000</v>
      </c>
      <c r="L262" s="109"/>
      <c r="M262" s="109"/>
      <c r="N262" s="109">
        <f>K262+L262+M262</f>
        <v>25000</v>
      </c>
      <c r="O262" s="128"/>
      <c r="P262" s="109"/>
      <c r="Q262" s="109"/>
      <c r="R262" s="109">
        <f>N262+P262+Q262</f>
        <v>25000</v>
      </c>
      <c r="S262" s="109"/>
      <c r="T262" s="109"/>
      <c r="U262" s="84">
        <f>Q262+R262</f>
        <v>25000</v>
      </c>
      <c r="V262" s="85"/>
      <c r="W262" s="85"/>
      <c r="X262" s="84">
        <f aca="true" t="shared" si="173" ref="X262:X273">U262+V262+W262</f>
        <v>25000</v>
      </c>
      <c r="AI262" s="85"/>
      <c r="AJ262" s="156">
        <f>X262+AI262</f>
        <v>25000</v>
      </c>
      <c r="AK262" s="85"/>
      <c r="AL262" s="85"/>
      <c r="AM262" s="156">
        <f>AJ262+AK262+AL262</f>
        <v>25000</v>
      </c>
    </row>
    <row r="263" spans="1:39" s="38" customFormat="1" ht="18.75">
      <c r="A263" s="39"/>
      <c r="B263" s="39">
        <v>265</v>
      </c>
      <c r="C263" s="40"/>
      <c r="D263" s="42" t="s">
        <v>499</v>
      </c>
      <c r="E263" s="42" t="s">
        <v>28</v>
      </c>
      <c r="F263" s="116">
        <f aca="true" t="shared" si="174" ref="F263:K263">F264+F265+F266</f>
        <v>77057</v>
      </c>
      <c r="G263" s="116">
        <f t="shared" si="174"/>
        <v>0</v>
      </c>
      <c r="H263" s="117">
        <f t="shared" si="174"/>
        <v>77057</v>
      </c>
      <c r="I263" s="117">
        <f t="shared" si="174"/>
        <v>0</v>
      </c>
      <c r="J263" s="117">
        <f t="shared" si="174"/>
        <v>0</v>
      </c>
      <c r="K263" s="117">
        <f t="shared" si="174"/>
        <v>77057</v>
      </c>
      <c r="L263" s="117">
        <f>L264+L265+L266</f>
        <v>1510</v>
      </c>
      <c r="M263" s="117">
        <f>M264+M265+M266</f>
        <v>0</v>
      </c>
      <c r="N263" s="117">
        <f>N264+N265+N266</f>
        <v>78567</v>
      </c>
      <c r="O263" s="128"/>
      <c r="P263" s="117">
        <f>P264+P265+P266</f>
        <v>0</v>
      </c>
      <c r="Q263" s="117">
        <f>Q264+Q265+Q266</f>
        <v>0</v>
      </c>
      <c r="R263" s="117">
        <f>R264+R265+R266+R267+R268</f>
        <v>78567</v>
      </c>
      <c r="S263" s="117">
        <f aca="true" t="shared" si="175" ref="S263:X263">S264+S265+S266+S267+S268+S269</f>
        <v>424364</v>
      </c>
      <c r="T263" s="117">
        <f t="shared" si="175"/>
        <v>0</v>
      </c>
      <c r="U263" s="83">
        <f t="shared" si="175"/>
        <v>502931</v>
      </c>
      <c r="V263" s="83">
        <f t="shared" si="175"/>
        <v>0</v>
      </c>
      <c r="W263" s="83">
        <f t="shared" si="175"/>
        <v>0</v>
      </c>
      <c r="X263" s="83">
        <f t="shared" si="175"/>
        <v>502931</v>
      </c>
      <c r="AI263" s="83">
        <f>AI264+AI265+AI266+AI267+AI268+AI269</f>
        <v>0</v>
      </c>
      <c r="AJ263" s="83">
        <f>AJ264+AJ265+AJ266+AJ267+AJ268+AJ269</f>
        <v>502931</v>
      </c>
      <c r="AK263" s="83">
        <f>AK264+AK265+AK266+AK267+AK268+AK269</f>
        <v>0</v>
      </c>
      <c r="AL263" s="83">
        <f>AL264+AL265+AL266+AL267+AL268+AL269</f>
        <v>0</v>
      </c>
      <c r="AM263" s="83">
        <f>AM264+AM265+AM266+AM267+AM268+AM269</f>
        <v>502931</v>
      </c>
    </row>
    <row r="264" spans="1:39" s="38" customFormat="1" ht="37.5">
      <c r="A264" s="44"/>
      <c r="B264" s="44"/>
      <c r="C264" s="45">
        <v>1</v>
      </c>
      <c r="D264" s="152" t="s">
        <v>500</v>
      </c>
      <c r="E264" s="47" t="s">
        <v>345</v>
      </c>
      <c r="F264" s="118">
        <v>74721</v>
      </c>
      <c r="G264" s="118"/>
      <c r="H264" s="109">
        <f aca="true" t="shared" si="176" ref="H264:H269">F264+G264</f>
        <v>74721</v>
      </c>
      <c r="I264" s="109"/>
      <c r="J264" s="109"/>
      <c r="K264" s="109">
        <f aca="true" t="shared" si="177" ref="K264:K269">H264+I264+J264</f>
        <v>74721</v>
      </c>
      <c r="L264" s="109">
        <f>1510</f>
        <v>1510</v>
      </c>
      <c r="M264" s="109"/>
      <c r="N264" s="109">
        <f aca="true" t="shared" si="178" ref="N264:N269">K264+L264+M264</f>
        <v>76231</v>
      </c>
      <c r="O264" s="128"/>
      <c r="P264" s="109"/>
      <c r="Q264" s="109"/>
      <c r="R264" s="109">
        <f>N264+P264+Q264</f>
        <v>76231</v>
      </c>
      <c r="S264" s="109"/>
      <c r="T264" s="109"/>
      <c r="U264" s="84">
        <f>Q264+R264</f>
        <v>76231</v>
      </c>
      <c r="V264" s="85"/>
      <c r="W264" s="85"/>
      <c r="X264" s="84">
        <f t="shared" si="173"/>
        <v>76231</v>
      </c>
      <c r="AI264" s="85"/>
      <c r="AJ264" s="156">
        <f aca="true" t="shared" si="179" ref="AJ264:AJ273">X264+AI264</f>
        <v>76231</v>
      </c>
      <c r="AK264" s="85"/>
      <c r="AL264" s="85"/>
      <c r="AM264" s="156">
        <f aca="true" t="shared" si="180" ref="AM264:AM273">AJ264+AK264+AL264</f>
        <v>76231</v>
      </c>
    </row>
    <row r="265" spans="1:39" s="38" customFormat="1" ht="18.75" hidden="1">
      <c r="A265" s="44"/>
      <c r="B265" s="44"/>
      <c r="C265" s="45">
        <v>3</v>
      </c>
      <c r="D265" s="152" t="s">
        <v>353</v>
      </c>
      <c r="E265" s="47" t="s">
        <v>296</v>
      </c>
      <c r="F265" s="118"/>
      <c r="G265" s="118"/>
      <c r="H265" s="109">
        <f t="shared" si="176"/>
        <v>0</v>
      </c>
      <c r="I265" s="109"/>
      <c r="J265" s="109"/>
      <c r="K265" s="109">
        <f t="shared" si="177"/>
        <v>0</v>
      </c>
      <c r="L265" s="109"/>
      <c r="M265" s="109"/>
      <c r="N265" s="109">
        <f t="shared" si="178"/>
        <v>0</v>
      </c>
      <c r="O265" s="128"/>
      <c r="P265" s="109"/>
      <c r="Q265" s="109"/>
      <c r="R265" s="109">
        <f>N265+P265+Q265</f>
        <v>0</v>
      </c>
      <c r="S265" s="109"/>
      <c r="T265" s="109"/>
      <c r="U265" s="84">
        <f>Q265+R265</f>
        <v>0</v>
      </c>
      <c r="V265" s="85"/>
      <c r="W265" s="85"/>
      <c r="X265" s="84">
        <f t="shared" si="173"/>
        <v>0</v>
      </c>
      <c r="AI265" s="85"/>
      <c r="AJ265" s="156">
        <f t="shared" si="179"/>
        <v>0</v>
      </c>
      <c r="AK265" s="85"/>
      <c r="AL265" s="85"/>
      <c r="AM265" s="156">
        <f t="shared" si="180"/>
        <v>0</v>
      </c>
    </row>
    <row r="266" spans="1:39" s="38" customFormat="1" ht="18.75">
      <c r="A266" s="44"/>
      <c r="B266" s="44"/>
      <c r="C266" s="45">
        <v>6</v>
      </c>
      <c r="D266" s="45" t="s">
        <v>352</v>
      </c>
      <c r="E266" s="47" t="s">
        <v>537</v>
      </c>
      <c r="F266" s="118">
        <v>2336</v>
      </c>
      <c r="G266" s="118"/>
      <c r="H266" s="109">
        <f t="shared" si="176"/>
        <v>2336</v>
      </c>
      <c r="I266" s="109"/>
      <c r="J266" s="109"/>
      <c r="K266" s="109">
        <f t="shared" si="177"/>
        <v>2336</v>
      </c>
      <c r="L266" s="109"/>
      <c r="M266" s="109"/>
      <c r="N266" s="109">
        <f t="shared" si="178"/>
        <v>2336</v>
      </c>
      <c r="O266" s="128"/>
      <c r="P266" s="109"/>
      <c r="Q266" s="109"/>
      <c r="R266" s="109">
        <f>N266+P266+Q266</f>
        <v>2336</v>
      </c>
      <c r="S266" s="109"/>
      <c r="T266" s="109"/>
      <c r="U266" s="84">
        <f>Q266+R266</f>
        <v>2336</v>
      </c>
      <c r="V266" s="85"/>
      <c r="W266" s="85"/>
      <c r="X266" s="84">
        <f t="shared" si="173"/>
        <v>2336</v>
      </c>
      <c r="AI266" s="85"/>
      <c r="AJ266" s="156">
        <f t="shared" si="179"/>
        <v>2336</v>
      </c>
      <c r="AK266" s="85"/>
      <c r="AL266" s="85"/>
      <c r="AM266" s="156">
        <f t="shared" si="180"/>
        <v>2336</v>
      </c>
    </row>
    <row r="267" spans="1:39" s="38" customFormat="1" ht="37.5">
      <c r="A267" s="44"/>
      <c r="B267" s="44"/>
      <c r="C267" s="45">
        <v>14</v>
      </c>
      <c r="D267" s="152" t="s">
        <v>175</v>
      </c>
      <c r="E267" s="47" t="s">
        <v>171</v>
      </c>
      <c r="F267" s="118">
        <v>2336</v>
      </c>
      <c r="G267" s="118"/>
      <c r="H267" s="109">
        <f t="shared" si="176"/>
        <v>2336</v>
      </c>
      <c r="I267" s="109"/>
      <c r="J267" s="109"/>
      <c r="K267" s="109">
        <f t="shared" si="177"/>
        <v>2336</v>
      </c>
      <c r="L267" s="109"/>
      <c r="M267" s="109"/>
      <c r="N267" s="109">
        <f t="shared" si="178"/>
        <v>2336</v>
      </c>
      <c r="O267" s="128"/>
      <c r="P267" s="109"/>
      <c r="Q267" s="109"/>
      <c r="R267" s="109"/>
      <c r="S267" s="109">
        <v>295209</v>
      </c>
      <c r="T267" s="109"/>
      <c r="U267" s="84">
        <f>Q267+S267+T267</f>
        <v>295209</v>
      </c>
      <c r="V267" s="85"/>
      <c r="W267" s="85"/>
      <c r="X267" s="84">
        <f t="shared" si="173"/>
        <v>295209</v>
      </c>
      <c r="AI267" s="85"/>
      <c r="AJ267" s="156">
        <f t="shared" si="179"/>
        <v>295209</v>
      </c>
      <c r="AK267" s="85"/>
      <c r="AL267" s="85"/>
      <c r="AM267" s="156">
        <f t="shared" si="180"/>
        <v>295209</v>
      </c>
    </row>
    <row r="268" spans="1:39" s="38" customFormat="1" ht="37.5">
      <c r="A268" s="44"/>
      <c r="B268" s="44"/>
      <c r="C268" s="45">
        <v>15</v>
      </c>
      <c r="D268" s="152" t="s">
        <v>176</v>
      </c>
      <c r="E268" s="47" t="s">
        <v>172</v>
      </c>
      <c r="F268" s="118">
        <v>2336</v>
      </c>
      <c r="G268" s="118"/>
      <c r="H268" s="109">
        <f t="shared" si="176"/>
        <v>2336</v>
      </c>
      <c r="I268" s="109"/>
      <c r="J268" s="109"/>
      <c r="K268" s="109">
        <f t="shared" si="177"/>
        <v>2336</v>
      </c>
      <c r="L268" s="109"/>
      <c r="M268" s="109"/>
      <c r="N268" s="109">
        <f t="shared" si="178"/>
        <v>2336</v>
      </c>
      <c r="O268" s="128"/>
      <c r="P268" s="109"/>
      <c r="Q268" s="109"/>
      <c r="R268" s="109"/>
      <c r="S268" s="109">
        <v>92254</v>
      </c>
      <c r="T268" s="109"/>
      <c r="U268" s="84">
        <f>Q268+S268+T268</f>
        <v>92254</v>
      </c>
      <c r="V268" s="85"/>
      <c r="W268" s="85"/>
      <c r="X268" s="84">
        <f t="shared" si="173"/>
        <v>92254</v>
      </c>
      <c r="AI268" s="85"/>
      <c r="AJ268" s="156">
        <f t="shared" si="179"/>
        <v>92254</v>
      </c>
      <c r="AK268" s="85"/>
      <c r="AL268" s="85"/>
      <c r="AM268" s="156">
        <f t="shared" si="180"/>
        <v>92254</v>
      </c>
    </row>
    <row r="269" spans="1:39" s="38" customFormat="1" ht="37.5">
      <c r="A269" s="44"/>
      <c r="B269" s="44"/>
      <c r="C269" s="45">
        <v>16</v>
      </c>
      <c r="D269" s="152" t="s">
        <v>177</v>
      </c>
      <c r="E269" s="47" t="s">
        <v>173</v>
      </c>
      <c r="F269" s="118">
        <v>2336</v>
      </c>
      <c r="G269" s="118"/>
      <c r="H269" s="109">
        <f t="shared" si="176"/>
        <v>2336</v>
      </c>
      <c r="I269" s="109"/>
      <c r="J269" s="109"/>
      <c r="K269" s="109">
        <f t="shared" si="177"/>
        <v>2336</v>
      </c>
      <c r="L269" s="109"/>
      <c r="M269" s="109"/>
      <c r="N269" s="109">
        <f t="shared" si="178"/>
        <v>2336</v>
      </c>
      <c r="O269" s="128"/>
      <c r="P269" s="109"/>
      <c r="Q269" s="109"/>
      <c r="R269" s="109"/>
      <c r="S269" s="109">
        <v>36901</v>
      </c>
      <c r="T269" s="109"/>
      <c r="U269" s="84">
        <f>Q269+S269+T269</f>
        <v>36901</v>
      </c>
      <c r="V269" s="85"/>
      <c r="W269" s="85"/>
      <c r="X269" s="84">
        <f t="shared" si="173"/>
        <v>36901</v>
      </c>
      <c r="AI269" s="85"/>
      <c r="AJ269" s="156">
        <f t="shared" si="179"/>
        <v>36901</v>
      </c>
      <c r="AK269" s="85"/>
      <c r="AL269" s="85"/>
      <c r="AM269" s="156">
        <f t="shared" si="180"/>
        <v>36901</v>
      </c>
    </row>
    <row r="270" spans="1:39" s="38" customFormat="1" ht="18.75">
      <c r="A270" s="39"/>
      <c r="B270" s="39">
        <v>271</v>
      </c>
      <c r="C270" s="40"/>
      <c r="D270" s="40" t="s">
        <v>401</v>
      </c>
      <c r="E270" s="42" t="s">
        <v>560</v>
      </c>
      <c r="F270" s="116">
        <f>F271</f>
        <v>36747</v>
      </c>
      <c r="G270" s="116">
        <f aca="true" t="shared" si="181" ref="G270:L270">G271</f>
        <v>0</v>
      </c>
      <c r="H270" s="116">
        <f t="shared" si="181"/>
        <v>36747</v>
      </c>
      <c r="I270" s="116">
        <f t="shared" si="181"/>
        <v>0</v>
      </c>
      <c r="J270" s="116">
        <f t="shared" si="181"/>
        <v>0</v>
      </c>
      <c r="K270" s="116">
        <f t="shared" si="181"/>
        <v>36747</v>
      </c>
      <c r="L270" s="116">
        <f t="shared" si="181"/>
        <v>639</v>
      </c>
      <c r="M270" s="116">
        <f>M271</f>
        <v>-768</v>
      </c>
      <c r="N270" s="116">
        <f>N271</f>
        <v>36618</v>
      </c>
      <c r="O270" s="128"/>
      <c r="P270" s="116">
        <f aca="true" t="shared" si="182" ref="P270:X270">P271</f>
        <v>0</v>
      </c>
      <c r="Q270" s="116">
        <f t="shared" si="182"/>
        <v>0</v>
      </c>
      <c r="R270" s="116">
        <f t="shared" si="182"/>
        <v>0</v>
      </c>
      <c r="S270" s="116">
        <f t="shared" si="182"/>
        <v>145800</v>
      </c>
      <c r="T270" s="117">
        <f t="shared" si="182"/>
        <v>0</v>
      </c>
      <c r="U270" s="83">
        <f t="shared" si="182"/>
        <v>145800</v>
      </c>
      <c r="V270" s="83">
        <f t="shared" si="182"/>
        <v>0</v>
      </c>
      <c r="W270" s="83">
        <f t="shared" si="182"/>
        <v>0</v>
      </c>
      <c r="X270" s="83">
        <f t="shared" si="182"/>
        <v>145800</v>
      </c>
      <c r="AI270" s="83">
        <f>AI271</f>
        <v>0</v>
      </c>
      <c r="AJ270" s="83">
        <f>AJ271</f>
        <v>145800</v>
      </c>
      <c r="AK270" s="83">
        <f>AK271</f>
        <v>0</v>
      </c>
      <c r="AL270" s="83">
        <f>AL271</f>
        <v>0</v>
      </c>
      <c r="AM270" s="158">
        <f>AM271</f>
        <v>145800</v>
      </c>
    </row>
    <row r="271" spans="1:39" s="38" customFormat="1" ht="37.5">
      <c r="A271" s="44"/>
      <c r="B271" s="44"/>
      <c r="C271" s="45">
        <v>51</v>
      </c>
      <c r="D271" s="152" t="s">
        <v>174</v>
      </c>
      <c r="E271" s="47" t="s">
        <v>179</v>
      </c>
      <c r="F271" s="118">
        <v>36747</v>
      </c>
      <c r="G271" s="118"/>
      <c r="H271" s="109">
        <f>F271+G271</f>
        <v>36747</v>
      </c>
      <c r="I271" s="109"/>
      <c r="J271" s="109"/>
      <c r="K271" s="109">
        <f>H271+I271+J271</f>
        <v>36747</v>
      </c>
      <c r="L271" s="109">
        <f>639</f>
        <v>639</v>
      </c>
      <c r="M271" s="109">
        <f>-768</f>
        <v>-768</v>
      </c>
      <c r="N271" s="109">
        <f>K271+L271+M271</f>
        <v>36618</v>
      </c>
      <c r="O271" s="128"/>
      <c r="P271" s="109"/>
      <c r="Q271" s="109"/>
      <c r="R271" s="109"/>
      <c r="S271" s="109">
        <v>145800</v>
      </c>
      <c r="T271" s="109"/>
      <c r="U271" s="84">
        <f>R271+S271</f>
        <v>145800</v>
      </c>
      <c r="V271" s="85"/>
      <c r="W271" s="85"/>
      <c r="X271" s="84">
        <f t="shared" si="173"/>
        <v>145800</v>
      </c>
      <c r="AI271" s="85"/>
      <c r="AJ271" s="156">
        <f t="shared" si="179"/>
        <v>145800</v>
      </c>
      <c r="AK271" s="85"/>
      <c r="AL271" s="85"/>
      <c r="AM271" s="157">
        <f t="shared" si="180"/>
        <v>145800</v>
      </c>
    </row>
    <row r="272" spans="1:39" s="38" customFormat="1" ht="37.5">
      <c r="A272" s="39"/>
      <c r="B272" s="39">
        <v>279</v>
      </c>
      <c r="C272" s="40"/>
      <c r="D272" s="153" t="s">
        <v>423</v>
      </c>
      <c r="E272" s="42" t="s">
        <v>594</v>
      </c>
      <c r="F272" s="117">
        <f aca="true" t="shared" si="183" ref="F272:N272">F273</f>
        <v>36747</v>
      </c>
      <c r="G272" s="117">
        <f t="shared" si="183"/>
        <v>0</v>
      </c>
      <c r="H272" s="117">
        <f t="shared" si="183"/>
        <v>36747</v>
      </c>
      <c r="I272" s="117">
        <f t="shared" si="183"/>
        <v>0</v>
      </c>
      <c r="J272" s="117">
        <f t="shared" si="183"/>
        <v>0</v>
      </c>
      <c r="K272" s="117">
        <f t="shared" si="183"/>
        <v>36747</v>
      </c>
      <c r="L272" s="117">
        <f t="shared" si="183"/>
        <v>639</v>
      </c>
      <c r="M272" s="117">
        <f t="shared" si="183"/>
        <v>-768</v>
      </c>
      <c r="N272" s="117">
        <f t="shared" si="183"/>
        <v>36618</v>
      </c>
      <c r="O272" s="128"/>
      <c r="P272" s="117">
        <f aca="true" t="shared" si="184" ref="P272:X272">P273</f>
        <v>0</v>
      </c>
      <c r="Q272" s="117">
        <f t="shared" si="184"/>
        <v>0</v>
      </c>
      <c r="R272" s="117">
        <f t="shared" si="184"/>
        <v>0</v>
      </c>
      <c r="S272" s="117">
        <f t="shared" si="184"/>
        <v>75000</v>
      </c>
      <c r="T272" s="117">
        <f t="shared" si="184"/>
        <v>75000</v>
      </c>
      <c r="U272" s="83">
        <f t="shared" si="184"/>
        <v>75000</v>
      </c>
      <c r="V272" s="83">
        <f t="shared" si="184"/>
        <v>0</v>
      </c>
      <c r="W272" s="83">
        <f t="shared" si="184"/>
        <v>0</v>
      </c>
      <c r="X272" s="83">
        <f t="shared" si="184"/>
        <v>75000</v>
      </c>
      <c r="AI272" s="83">
        <f>AI273</f>
        <v>0</v>
      </c>
      <c r="AJ272" s="83">
        <f>AJ273</f>
        <v>75000</v>
      </c>
      <c r="AK272" s="83">
        <f>AK273</f>
        <v>0</v>
      </c>
      <c r="AL272" s="83">
        <f>AL273</f>
        <v>0</v>
      </c>
      <c r="AM272" s="83">
        <f>AM273</f>
        <v>75000</v>
      </c>
    </row>
    <row r="273" spans="1:39" s="38" customFormat="1" ht="37.5">
      <c r="A273" s="44"/>
      <c r="B273" s="44"/>
      <c r="C273" s="45">
        <v>24</v>
      </c>
      <c r="D273" s="152" t="s">
        <v>174</v>
      </c>
      <c r="E273" s="47" t="s">
        <v>178</v>
      </c>
      <c r="F273" s="118">
        <v>36747</v>
      </c>
      <c r="G273" s="118"/>
      <c r="H273" s="109">
        <f>F273+G273</f>
        <v>36747</v>
      </c>
      <c r="I273" s="109"/>
      <c r="J273" s="109"/>
      <c r="K273" s="109">
        <f>H273+I273+J273</f>
        <v>36747</v>
      </c>
      <c r="L273" s="109">
        <f>639</f>
        <v>639</v>
      </c>
      <c r="M273" s="109">
        <f>-768</f>
        <v>-768</v>
      </c>
      <c r="N273" s="109">
        <f>K273+L273+M273</f>
        <v>36618</v>
      </c>
      <c r="O273" s="128"/>
      <c r="P273" s="109"/>
      <c r="Q273" s="109"/>
      <c r="R273" s="109"/>
      <c r="S273" s="109">
        <v>75000</v>
      </c>
      <c r="T273" s="109">
        <v>75000</v>
      </c>
      <c r="U273" s="84">
        <v>75000</v>
      </c>
      <c r="V273" s="85"/>
      <c r="W273" s="85"/>
      <c r="X273" s="84">
        <f t="shared" si="173"/>
        <v>75000</v>
      </c>
      <c r="AI273" s="85"/>
      <c r="AJ273" s="156">
        <f t="shared" si="179"/>
        <v>75000</v>
      </c>
      <c r="AK273" s="85"/>
      <c r="AL273" s="85"/>
      <c r="AM273" s="156">
        <f t="shared" si="180"/>
        <v>75000</v>
      </c>
    </row>
    <row r="274" spans="1:39" s="38" customFormat="1" ht="18.75">
      <c r="A274" s="34">
        <v>15</v>
      </c>
      <c r="B274" s="34"/>
      <c r="C274" s="35"/>
      <c r="D274" s="35" t="s">
        <v>501</v>
      </c>
      <c r="E274" s="37" t="s">
        <v>29</v>
      </c>
      <c r="F274" s="117">
        <f aca="true" t="shared" si="185" ref="F274:W274">F275</f>
        <v>26448098</v>
      </c>
      <c r="G274" s="117">
        <f t="shared" si="185"/>
        <v>0</v>
      </c>
      <c r="H274" s="117">
        <f t="shared" si="185"/>
        <v>26448098</v>
      </c>
      <c r="I274" s="117">
        <f t="shared" si="185"/>
        <v>50000</v>
      </c>
      <c r="J274" s="117">
        <f t="shared" si="185"/>
        <v>0</v>
      </c>
      <c r="K274" s="117">
        <f t="shared" si="185"/>
        <v>26498098</v>
      </c>
      <c r="L274" s="117">
        <f t="shared" si="185"/>
        <v>289936.3</v>
      </c>
      <c r="M274" s="117">
        <f t="shared" si="185"/>
        <v>-1677058</v>
      </c>
      <c r="N274" s="117">
        <f t="shared" si="185"/>
        <v>25110976.3</v>
      </c>
      <c r="O274" s="117">
        <f t="shared" si="185"/>
        <v>0</v>
      </c>
      <c r="P274" s="117">
        <f t="shared" si="185"/>
        <v>50000</v>
      </c>
      <c r="Q274" s="117">
        <f t="shared" si="185"/>
        <v>0</v>
      </c>
      <c r="R274" s="117">
        <f t="shared" si="185"/>
        <v>25160976.3</v>
      </c>
      <c r="S274" s="117">
        <f t="shared" si="185"/>
        <v>0</v>
      </c>
      <c r="T274" s="117">
        <f t="shared" si="185"/>
        <v>0</v>
      </c>
      <c r="U274" s="82">
        <f t="shared" si="185"/>
        <v>25160976.3</v>
      </c>
      <c r="V274" s="82">
        <f t="shared" si="185"/>
        <v>258744.6</v>
      </c>
      <c r="W274" s="82">
        <f t="shared" si="185"/>
        <v>0</v>
      </c>
      <c r="X274" s="82">
        <f>X275</f>
        <v>25419720.900000002</v>
      </c>
      <c r="Y274" s="82">
        <f aca="true" t="shared" si="186" ref="Y274:AM274">Y275</f>
        <v>0</v>
      </c>
      <c r="Z274" s="82">
        <f t="shared" si="186"/>
        <v>0</v>
      </c>
      <c r="AA274" s="82">
        <f t="shared" si="186"/>
        <v>0</v>
      </c>
      <c r="AB274" s="82">
        <f t="shared" si="186"/>
        <v>0</v>
      </c>
      <c r="AC274" s="82">
        <f t="shared" si="186"/>
        <v>0</v>
      </c>
      <c r="AD274" s="82">
        <f t="shared" si="186"/>
        <v>0</v>
      </c>
      <c r="AE274" s="82">
        <f t="shared" si="186"/>
        <v>0</v>
      </c>
      <c r="AF274" s="82">
        <f t="shared" si="186"/>
        <v>0</v>
      </c>
      <c r="AG274" s="82">
        <f t="shared" si="186"/>
        <v>0</v>
      </c>
      <c r="AH274" s="82">
        <f t="shared" si="186"/>
        <v>0</v>
      </c>
      <c r="AI274" s="82">
        <f t="shared" si="186"/>
        <v>0</v>
      </c>
      <c r="AJ274" s="82">
        <f t="shared" si="186"/>
        <v>25419720.900000002</v>
      </c>
      <c r="AK274" s="82">
        <f t="shared" si="186"/>
        <v>0</v>
      </c>
      <c r="AL274" s="82">
        <f t="shared" si="186"/>
        <v>0</v>
      </c>
      <c r="AM274" s="82">
        <f t="shared" si="186"/>
        <v>25419720.900000002</v>
      </c>
    </row>
    <row r="275" spans="1:39" s="38" customFormat="1" ht="18.75">
      <c r="A275" s="39"/>
      <c r="B275" s="39">
        <v>257</v>
      </c>
      <c r="C275" s="40"/>
      <c r="D275" s="40" t="s">
        <v>362</v>
      </c>
      <c r="E275" s="42" t="s">
        <v>539</v>
      </c>
      <c r="F275" s="117">
        <f>F277+F279+F276+F278+F281+F282</f>
        <v>26448098</v>
      </c>
      <c r="G275" s="117">
        <f aca="true" t="shared" si="187" ref="G275:Q275">G277+G279+G276+G278+G281+G282</f>
        <v>0</v>
      </c>
      <c r="H275" s="117">
        <f t="shared" si="187"/>
        <v>26448098</v>
      </c>
      <c r="I275" s="117">
        <f t="shared" si="187"/>
        <v>50000</v>
      </c>
      <c r="J275" s="117">
        <f t="shared" si="187"/>
        <v>0</v>
      </c>
      <c r="K275" s="117">
        <f t="shared" si="187"/>
        <v>26498098</v>
      </c>
      <c r="L275" s="117">
        <f t="shared" si="187"/>
        <v>289936.3</v>
      </c>
      <c r="M275" s="117">
        <f t="shared" si="187"/>
        <v>-1677058</v>
      </c>
      <c r="N275" s="117">
        <f t="shared" si="187"/>
        <v>25110976.3</v>
      </c>
      <c r="O275" s="117">
        <f t="shared" si="187"/>
        <v>0</v>
      </c>
      <c r="P275" s="117">
        <f t="shared" si="187"/>
        <v>50000</v>
      </c>
      <c r="Q275" s="117">
        <f t="shared" si="187"/>
        <v>0</v>
      </c>
      <c r="R275" s="117">
        <f>R277+R279+R276+R278+R281+R282</f>
        <v>25160976.3</v>
      </c>
      <c r="S275" s="117">
        <f>S277+S279+S276+S278+S281+S282</f>
        <v>0</v>
      </c>
      <c r="T275" s="117">
        <f>T277+T279+T276+T278+T281+T282</f>
        <v>0</v>
      </c>
      <c r="U275" s="83">
        <f>U277+U279+U276+U278+U281+U282+U280</f>
        <v>25160976.3</v>
      </c>
      <c r="V275" s="83">
        <f>V277+V279+V276+V278+V281+V282+V280</f>
        <v>258744.6</v>
      </c>
      <c r="W275" s="83">
        <f>W277+W279+W276+W278+W281+W282+W280</f>
        <v>0</v>
      </c>
      <c r="X275" s="83">
        <f>X277+X279+X276+X278+X281+X282+X280</f>
        <v>25419720.900000002</v>
      </c>
      <c r="Y275" s="83">
        <f aca="true" t="shared" si="188" ref="Y275:AI275">Y277+Y279+Y276+Y278+Y281+Y282+Y280</f>
        <v>0</v>
      </c>
      <c r="Z275" s="83">
        <f t="shared" si="188"/>
        <v>0</v>
      </c>
      <c r="AA275" s="83">
        <f t="shared" si="188"/>
        <v>0</v>
      </c>
      <c r="AB275" s="83">
        <f t="shared" si="188"/>
        <v>0</v>
      </c>
      <c r="AC275" s="83">
        <f t="shared" si="188"/>
        <v>0</v>
      </c>
      <c r="AD275" s="83">
        <f t="shared" si="188"/>
        <v>0</v>
      </c>
      <c r="AE275" s="83">
        <f t="shared" si="188"/>
        <v>0</v>
      </c>
      <c r="AF275" s="83">
        <f t="shared" si="188"/>
        <v>0</v>
      </c>
      <c r="AG275" s="83">
        <f t="shared" si="188"/>
        <v>0</v>
      </c>
      <c r="AH275" s="83">
        <f t="shared" si="188"/>
        <v>0</v>
      </c>
      <c r="AI275" s="83">
        <f t="shared" si="188"/>
        <v>0</v>
      </c>
      <c r="AJ275" s="83">
        <f>AJ277+AJ279+AJ276+AJ278+AJ281+AJ282+AJ280</f>
        <v>25419720.900000002</v>
      </c>
      <c r="AK275" s="83">
        <f>AK277+AK279+AK276+AK278+AK281+AK282+AK280</f>
        <v>0</v>
      </c>
      <c r="AL275" s="83">
        <f>AL277+AL279+AL276+AL278+AL281+AL282+AL280</f>
        <v>0</v>
      </c>
      <c r="AM275" s="83">
        <f>AM277+AM279+AM276+AM278+AM281+AM282+AM280</f>
        <v>25419720.900000002</v>
      </c>
    </row>
    <row r="276" spans="1:39" s="38" customFormat="1" ht="18.75">
      <c r="A276" s="44"/>
      <c r="B276" s="44"/>
      <c r="C276" s="45">
        <v>7</v>
      </c>
      <c r="D276" s="45" t="s">
        <v>261</v>
      </c>
      <c r="E276" s="47" t="s">
        <v>30</v>
      </c>
      <c r="F276" s="118">
        <v>15362412</v>
      </c>
      <c r="G276" s="118"/>
      <c r="H276" s="109">
        <f>F276+G276</f>
        <v>15362412</v>
      </c>
      <c r="I276" s="109"/>
      <c r="J276" s="109"/>
      <c r="K276" s="109">
        <f aca="true" t="shared" si="189" ref="K276:K282">H276+I276+J276</f>
        <v>15362412</v>
      </c>
      <c r="L276" s="109"/>
      <c r="M276" s="109"/>
      <c r="N276" s="109">
        <f aca="true" t="shared" si="190" ref="N276:N282">K276+L276+M276</f>
        <v>15362412</v>
      </c>
      <c r="O276" s="128"/>
      <c r="P276" s="109"/>
      <c r="Q276" s="109"/>
      <c r="R276" s="109">
        <f aca="true" t="shared" si="191" ref="R276:R282">N276+P276+Q276</f>
        <v>15362412</v>
      </c>
      <c r="S276" s="109"/>
      <c r="T276" s="109"/>
      <c r="U276" s="84">
        <f aca="true" t="shared" si="192" ref="U276:U282">Q276+R276</f>
        <v>15362412</v>
      </c>
      <c r="V276" s="85"/>
      <c r="W276" s="85"/>
      <c r="X276" s="84">
        <f aca="true" t="shared" si="193" ref="X276:X282">U276+V276</f>
        <v>15362412</v>
      </c>
      <c r="AI276" s="85"/>
      <c r="AJ276" s="156">
        <f aca="true" t="shared" si="194" ref="AJ276:AJ282">X276+AI276</f>
        <v>15362412</v>
      </c>
      <c r="AK276" s="85"/>
      <c r="AL276" s="85"/>
      <c r="AM276" s="156">
        <f aca="true" t="shared" si="195" ref="AM276:AM282">AJ276+AK276+AL276</f>
        <v>15362412</v>
      </c>
    </row>
    <row r="277" spans="1:39" s="38" customFormat="1" ht="37.5">
      <c r="A277" s="44"/>
      <c r="B277" s="44"/>
      <c r="C277" s="45">
        <v>11</v>
      </c>
      <c r="D277" s="152" t="s">
        <v>246</v>
      </c>
      <c r="E277" s="47" t="s">
        <v>68</v>
      </c>
      <c r="F277" s="118"/>
      <c r="G277" s="118"/>
      <c r="H277" s="109"/>
      <c r="I277" s="109"/>
      <c r="J277" s="109"/>
      <c r="K277" s="109">
        <f t="shared" si="189"/>
        <v>0</v>
      </c>
      <c r="L277" s="109">
        <f>82908.5+84963.4+26.4</f>
        <v>167898.3</v>
      </c>
      <c r="M277" s="109"/>
      <c r="N277" s="109">
        <f>K277+L277+M277</f>
        <v>167898.3</v>
      </c>
      <c r="O277" s="128"/>
      <c r="P277" s="109"/>
      <c r="Q277" s="109"/>
      <c r="R277" s="109">
        <f t="shared" si="191"/>
        <v>167898.3</v>
      </c>
      <c r="S277" s="109"/>
      <c r="T277" s="109"/>
      <c r="U277" s="84">
        <f t="shared" si="192"/>
        <v>167898.3</v>
      </c>
      <c r="V277" s="85"/>
      <c r="W277" s="85"/>
      <c r="X277" s="84">
        <f t="shared" si="193"/>
        <v>167898.3</v>
      </c>
      <c r="AI277" s="85"/>
      <c r="AJ277" s="156">
        <f t="shared" si="194"/>
        <v>167898.3</v>
      </c>
      <c r="AK277" s="85"/>
      <c r="AL277" s="85"/>
      <c r="AM277" s="156">
        <f t="shared" si="195"/>
        <v>167898.3</v>
      </c>
    </row>
    <row r="278" spans="1:39" s="38" customFormat="1" ht="37.5">
      <c r="A278" s="44"/>
      <c r="B278" s="44"/>
      <c r="C278" s="45">
        <v>17</v>
      </c>
      <c r="D278" s="152" t="s">
        <v>248</v>
      </c>
      <c r="E278" s="47" t="s">
        <v>252</v>
      </c>
      <c r="F278" s="118"/>
      <c r="G278" s="118"/>
      <c r="H278" s="109"/>
      <c r="I278" s="109"/>
      <c r="J278" s="109"/>
      <c r="K278" s="109">
        <f t="shared" si="189"/>
        <v>0</v>
      </c>
      <c r="L278" s="109">
        <v>2830</v>
      </c>
      <c r="M278" s="109"/>
      <c r="N278" s="109">
        <f t="shared" si="190"/>
        <v>2830</v>
      </c>
      <c r="O278" s="128"/>
      <c r="P278" s="109"/>
      <c r="Q278" s="109"/>
      <c r="R278" s="109">
        <f t="shared" si="191"/>
        <v>2830</v>
      </c>
      <c r="S278" s="109"/>
      <c r="T278" s="109"/>
      <c r="U278" s="84">
        <f t="shared" si="192"/>
        <v>2830</v>
      </c>
      <c r="V278" s="85"/>
      <c r="W278" s="85"/>
      <c r="X278" s="84">
        <f t="shared" si="193"/>
        <v>2830</v>
      </c>
      <c r="AI278" s="85"/>
      <c r="AJ278" s="156">
        <f t="shared" si="194"/>
        <v>2830</v>
      </c>
      <c r="AK278" s="85"/>
      <c r="AL278" s="85"/>
      <c r="AM278" s="156">
        <f t="shared" si="195"/>
        <v>2830</v>
      </c>
    </row>
    <row r="279" spans="1:39" s="38" customFormat="1" ht="56.25">
      <c r="A279" s="44"/>
      <c r="B279" s="44"/>
      <c r="C279" s="45">
        <v>24</v>
      </c>
      <c r="D279" s="152" t="s">
        <v>503</v>
      </c>
      <c r="E279" s="47" t="s">
        <v>279</v>
      </c>
      <c r="F279" s="118">
        <f>11085687-3390562-1</f>
        <v>7695124</v>
      </c>
      <c r="G279" s="118"/>
      <c r="H279" s="109">
        <f>F279+G279</f>
        <v>7695124</v>
      </c>
      <c r="I279" s="109"/>
      <c r="J279" s="109"/>
      <c r="K279" s="109">
        <f t="shared" si="189"/>
        <v>7695124</v>
      </c>
      <c r="L279" s="109">
        <v>119208</v>
      </c>
      <c r="M279" s="109"/>
      <c r="N279" s="109">
        <f t="shared" si="190"/>
        <v>7814332</v>
      </c>
      <c r="O279" s="128"/>
      <c r="P279" s="109"/>
      <c r="Q279" s="109"/>
      <c r="R279" s="109">
        <f t="shared" si="191"/>
        <v>7814332</v>
      </c>
      <c r="S279" s="109"/>
      <c r="T279" s="109"/>
      <c r="U279" s="84">
        <f t="shared" si="192"/>
        <v>7814332</v>
      </c>
      <c r="V279" s="84"/>
      <c r="W279" s="84"/>
      <c r="X279" s="84">
        <f t="shared" si="193"/>
        <v>7814332</v>
      </c>
      <c r="AI279" s="84"/>
      <c r="AJ279" s="156">
        <f t="shared" si="194"/>
        <v>7814332</v>
      </c>
      <c r="AK279" s="84"/>
      <c r="AL279" s="84"/>
      <c r="AM279" s="156">
        <f t="shared" si="195"/>
        <v>7814332</v>
      </c>
    </row>
    <row r="280" spans="1:39" s="38" customFormat="1" ht="56.25">
      <c r="A280" s="44"/>
      <c r="B280" s="44"/>
      <c r="C280" s="45">
        <v>26</v>
      </c>
      <c r="D280" s="47" t="s">
        <v>196</v>
      </c>
      <c r="E280" s="47" t="s">
        <v>195</v>
      </c>
      <c r="F280" s="118"/>
      <c r="G280" s="118"/>
      <c r="H280" s="109"/>
      <c r="I280" s="109"/>
      <c r="J280" s="109"/>
      <c r="K280" s="109"/>
      <c r="L280" s="109"/>
      <c r="M280" s="109"/>
      <c r="N280" s="109"/>
      <c r="O280" s="128"/>
      <c r="P280" s="109"/>
      <c r="Q280" s="109"/>
      <c r="R280" s="109"/>
      <c r="S280" s="109"/>
      <c r="T280" s="109"/>
      <c r="U280" s="84"/>
      <c r="V280" s="134">
        <f>143744.6+15000+100000</f>
        <v>258744.6</v>
      </c>
      <c r="W280" s="84"/>
      <c r="X280" s="84">
        <f t="shared" si="193"/>
        <v>258744.6</v>
      </c>
      <c r="AI280" s="134"/>
      <c r="AJ280" s="156">
        <f t="shared" si="194"/>
        <v>258744.6</v>
      </c>
      <c r="AK280" s="134"/>
      <c r="AL280" s="134"/>
      <c r="AM280" s="156">
        <f t="shared" si="195"/>
        <v>258744.6</v>
      </c>
    </row>
    <row r="281" spans="1:39" s="38" customFormat="1" ht="135" customHeight="1">
      <c r="A281" s="44"/>
      <c r="B281" s="44"/>
      <c r="C281" s="45">
        <v>29</v>
      </c>
      <c r="D281" s="152" t="s">
        <v>59</v>
      </c>
      <c r="E281" s="47" t="s">
        <v>58</v>
      </c>
      <c r="F281" s="118"/>
      <c r="G281" s="118"/>
      <c r="H281" s="109"/>
      <c r="I281" s="109">
        <v>50000</v>
      </c>
      <c r="J281" s="109"/>
      <c r="K281" s="109">
        <f t="shared" si="189"/>
        <v>50000</v>
      </c>
      <c r="L281" s="109"/>
      <c r="M281" s="109"/>
      <c r="N281" s="109">
        <f t="shared" si="190"/>
        <v>50000</v>
      </c>
      <c r="O281" s="128"/>
      <c r="P281" s="109">
        <f>50000</f>
        <v>50000</v>
      </c>
      <c r="Q281" s="109"/>
      <c r="R281" s="109">
        <f t="shared" si="191"/>
        <v>100000</v>
      </c>
      <c r="S281" s="109"/>
      <c r="T281" s="109"/>
      <c r="U281" s="84">
        <f t="shared" si="192"/>
        <v>100000</v>
      </c>
      <c r="V281" s="84"/>
      <c r="W281" s="84"/>
      <c r="X281" s="84">
        <f t="shared" si="193"/>
        <v>100000</v>
      </c>
      <c r="AI281" s="84"/>
      <c r="AJ281" s="156">
        <f t="shared" si="194"/>
        <v>100000</v>
      </c>
      <c r="AK281" s="84"/>
      <c r="AL281" s="84"/>
      <c r="AM281" s="156">
        <f t="shared" si="195"/>
        <v>100000</v>
      </c>
    </row>
    <row r="282" spans="1:39" s="38" customFormat="1" ht="47.25" customHeight="1">
      <c r="A282" s="44"/>
      <c r="B282" s="44"/>
      <c r="C282" s="45">
        <v>30</v>
      </c>
      <c r="D282" s="152" t="s">
        <v>504</v>
      </c>
      <c r="E282" s="47" t="s">
        <v>346</v>
      </c>
      <c r="F282" s="118">
        <v>3390562</v>
      </c>
      <c r="G282" s="118"/>
      <c r="H282" s="109">
        <f>F282+G282</f>
        <v>3390562</v>
      </c>
      <c r="I282" s="109"/>
      <c r="J282" s="109"/>
      <c r="K282" s="109">
        <f t="shared" si="189"/>
        <v>3390562</v>
      </c>
      <c r="L282" s="109"/>
      <c r="M282" s="109">
        <f>-1677058</f>
        <v>-1677058</v>
      </c>
      <c r="N282" s="109">
        <f t="shared" si="190"/>
        <v>1713504</v>
      </c>
      <c r="O282" s="128"/>
      <c r="P282" s="109"/>
      <c r="Q282" s="109"/>
      <c r="R282" s="109">
        <f t="shared" si="191"/>
        <v>1713504</v>
      </c>
      <c r="S282" s="109"/>
      <c r="T282" s="109"/>
      <c r="U282" s="84">
        <f t="shared" si="192"/>
        <v>1713504</v>
      </c>
      <c r="V282" s="84"/>
      <c r="W282" s="84"/>
      <c r="X282" s="84">
        <f t="shared" si="193"/>
        <v>1713504</v>
      </c>
      <c r="AI282" s="84"/>
      <c r="AJ282" s="156">
        <f t="shared" si="194"/>
        <v>1713504</v>
      </c>
      <c r="AK282" s="84"/>
      <c r="AL282" s="84"/>
      <c r="AM282" s="156">
        <f t="shared" si="195"/>
        <v>1713504</v>
      </c>
    </row>
    <row r="283" spans="1:39" s="38" customFormat="1" ht="18.75" hidden="1">
      <c r="A283" s="44"/>
      <c r="B283" s="44"/>
      <c r="C283" s="45"/>
      <c r="D283" s="45"/>
      <c r="E283" s="47"/>
      <c r="F283" s="118">
        <f>'2010 Доходы'!G12-'2010 Доходы'!G67-'2010 Доходы'!G68-'2010 год Расходы'!F4</f>
        <v>27499291</v>
      </c>
      <c r="G283" s="118">
        <f>'2010 Доходы'!H12-'2010 год Расходы'!G4</f>
        <v>-35770633.3</v>
      </c>
      <c r="H283" s="109">
        <f>'2010 Доходы'!G12-'2010 год Расходы'!H4</f>
        <v>27848560</v>
      </c>
      <c r="I283" s="109"/>
      <c r="J283" s="109"/>
      <c r="K283" s="109">
        <f>'2010 Доходы'!G12-'2010 год Расходы'!K4</f>
        <v>26410105</v>
      </c>
      <c r="L283" s="109">
        <f>'2010 Доходы'!H12-'2010 год Расходы'!L4</f>
        <v>-1154458.5</v>
      </c>
      <c r="M283" s="109">
        <f>'2010 Доходы'!I12-'2010 год Расходы'!M4</f>
        <v>-575102.2</v>
      </c>
      <c r="N283" s="109">
        <f>'2010 Доходы'!J12-'2010 год Расходы'!N4</f>
        <v>24681822.299999982</v>
      </c>
      <c r="O283" s="128"/>
      <c r="P283" s="109">
        <f>'2010 Доходы'!L12-'2010 год Расходы'!P4</f>
        <v>50000</v>
      </c>
      <c r="Q283" s="109">
        <f>'2010 Доходы'!M12-'2010 год Расходы'!Q4</f>
        <v>0</v>
      </c>
      <c r="R283" s="109">
        <f>'2010 Доходы'!N12-'2010 год Расходы'!R4</f>
        <v>-426818.0000000149</v>
      </c>
      <c r="S283" s="109">
        <f>'2010 Доходы'!O12-'2010 год Расходы'!S4</f>
        <v>0</v>
      </c>
      <c r="T283" s="109">
        <f>'2010 Доходы'!P12-'2010 год Расходы'!T4</f>
        <v>90443770.69999999</v>
      </c>
      <c r="U283" s="88">
        <f>'2010 Доходы'!P12-'2010 год Расходы'!U4</f>
        <v>-426818.0000000149</v>
      </c>
      <c r="V283" s="88">
        <f>'2010 Доходы'!Q12-'2010 год Расходы'!V4</f>
        <v>-575349.5</v>
      </c>
      <c r="W283" s="88">
        <f>'2010 Доходы'!R12-'2010 год Расходы'!W4</f>
        <v>578349.4999999999</v>
      </c>
      <c r="X283" s="88">
        <f>'2010 Доходы'!S12-'2010 год Расходы'!X4</f>
        <v>-423818</v>
      </c>
      <c r="AI283" s="88"/>
      <c r="AJ283" s="88">
        <f>'2010 Доходы'!U12-'2010 год Расходы'!AJ4</f>
        <v>-423818</v>
      </c>
      <c r="AK283" s="88">
        <f>'2010 Доходы'!V12-'2010 год Расходы'!AK4</f>
        <v>0</v>
      </c>
      <c r="AL283" s="88">
        <f>'2010 Доходы'!W12-'2010 год Расходы'!AL4</f>
        <v>0</v>
      </c>
      <c r="AM283" s="88">
        <f>'2010 Доходы'!X12-'2010 год Расходы'!AM4</f>
        <v>-423818</v>
      </c>
    </row>
    <row r="284" spans="1:39" s="38" customFormat="1" ht="18.75">
      <c r="A284" s="57"/>
      <c r="B284" s="57"/>
      <c r="C284" s="58"/>
      <c r="D284" s="74" t="s">
        <v>505</v>
      </c>
      <c r="E284" s="73" t="s">
        <v>262</v>
      </c>
      <c r="F284" s="122">
        <f aca="true" t="shared" si="196" ref="F284:K284">F285-F295</f>
        <v>-349030</v>
      </c>
      <c r="G284" s="122">
        <f t="shared" si="196"/>
        <v>1093888</v>
      </c>
      <c r="H284" s="123">
        <f t="shared" si="196"/>
        <v>744858</v>
      </c>
      <c r="I284" s="123">
        <f t="shared" si="196"/>
        <v>-148850</v>
      </c>
      <c r="J284" s="123">
        <f t="shared" si="196"/>
        <v>0</v>
      </c>
      <c r="K284" s="123">
        <f t="shared" si="196"/>
        <v>596008</v>
      </c>
      <c r="L284" s="123">
        <f>L285-L295</f>
        <v>-368161</v>
      </c>
      <c r="M284" s="123">
        <f>M285-M295</f>
        <v>0</v>
      </c>
      <c r="N284" s="123">
        <f>N285-N295</f>
        <v>227847</v>
      </c>
      <c r="O284" s="128"/>
      <c r="P284" s="123">
        <f aca="true" t="shared" si="197" ref="P284:X284">P285-P295</f>
        <v>0</v>
      </c>
      <c r="Q284" s="123">
        <f t="shared" si="197"/>
        <v>0</v>
      </c>
      <c r="R284" s="123">
        <f t="shared" si="197"/>
        <v>227847</v>
      </c>
      <c r="S284" s="123">
        <f t="shared" si="197"/>
        <v>0</v>
      </c>
      <c r="T284" s="123">
        <f t="shared" si="197"/>
        <v>0</v>
      </c>
      <c r="U284" s="89">
        <f t="shared" si="197"/>
        <v>227847</v>
      </c>
      <c r="V284" s="89">
        <f t="shared" si="197"/>
        <v>0</v>
      </c>
      <c r="W284" s="89">
        <f t="shared" si="197"/>
        <v>-296704</v>
      </c>
      <c r="X284" s="89">
        <f t="shared" si="197"/>
        <v>-68857</v>
      </c>
      <c r="AI284" s="89">
        <f>AI285-AI295</f>
        <v>0</v>
      </c>
      <c r="AJ284" s="89">
        <f>AJ285-AJ295</f>
        <v>-68857</v>
      </c>
      <c r="AK284" s="89">
        <f>AK285-AK295</f>
        <v>0</v>
      </c>
      <c r="AL284" s="89">
        <f>AL285-AL295</f>
        <v>0</v>
      </c>
      <c r="AM284" s="89">
        <f>AM285-AM295</f>
        <v>-68857</v>
      </c>
    </row>
    <row r="285" spans="1:39" s="53" customFormat="1" ht="18.75">
      <c r="A285" s="59"/>
      <c r="B285" s="59"/>
      <c r="C285" s="60"/>
      <c r="D285" s="61" t="s">
        <v>506</v>
      </c>
      <c r="E285" s="62" t="s">
        <v>264</v>
      </c>
      <c r="F285" s="122">
        <f aca="true" t="shared" si="198" ref="F285:K285">F286+F292+F289</f>
        <v>150000</v>
      </c>
      <c r="G285" s="122">
        <f t="shared" si="198"/>
        <v>1093888</v>
      </c>
      <c r="H285" s="123">
        <f t="shared" si="198"/>
        <v>1243888</v>
      </c>
      <c r="I285" s="123">
        <f t="shared" si="198"/>
        <v>0</v>
      </c>
      <c r="J285" s="123">
        <f t="shared" si="198"/>
        <v>0</v>
      </c>
      <c r="K285" s="123">
        <f t="shared" si="198"/>
        <v>1243888</v>
      </c>
      <c r="L285" s="123">
        <f>L286+L292+L289</f>
        <v>0</v>
      </c>
      <c r="M285" s="123">
        <f>M286+M292+M289</f>
        <v>0</v>
      </c>
      <c r="N285" s="123">
        <f>N286+N292+N289</f>
        <v>1243888</v>
      </c>
      <c r="O285" s="128"/>
      <c r="P285" s="123">
        <f aca="true" t="shared" si="199" ref="P285:U285">P286+P292+P289</f>
        <v>0</v>
      </c>
      <c r="Q285" s="123">
        <f t="shared" si="199"/>
        <v>0</v>
      </c>
      <c r="R285" s="123">
        <f t="shared" si="199"/>
        <v>1243888</v>
      </c>
      <c r="S285" s="123">
        <f t="shared" si="199"/>
        <v>0</v>
      </c>
      <c r="T285" s="123">
        <f t="shared" si="199"/>
        <v>0</v>
      </c>
      <c r="U285" s="90">
        <f t="shared" si="199"/>
        <v>1243888</v>
      </c>
      <c r="V285" s="90">
        <f>V286+V292+V289</f>
        <v>0</v>
      </c>
      <c r="W285" s="90">
        <f>W286+W292+W289</f>
        <v>-296704</v>
      </c>
      <c r="X285" s="90">
        <f>X286+X292+X289</f>
        <v>947184</v>
      </c>
      <c r="AI285" s="90">
        <f>AI286+AI292+AI289</f>
        <v>0</v>
      </c>
      <c r="AJ285" s="90">
        <f>AJ286+AJ292+AJ289</f>
        <v>947184</v>
      </c>
      <c r="AK285" s="90">
        <f>AK286+AK292+AK289</f>
        <v>0</v>
      </c>
      <c r="AL285" s="90">
        <f>AL286+AL292+AL289</f>
        <v>0</v>
      </c>
      <c r="AM285" s="90">
        <f>AM286+AM292+AM289</f>
        <v>947184</v>
      </c>
    </row>
    <row r="286" spans="1:39" s="53" customFormat="1" ht="18.75">
      <c r="A286" s="34">
        <v>7</v>
      </c>
      <c r="B286" s="34"/>
      <c r="C286" s="35"/>
      <c r="D286" s="35" t="s">
        <v>422</v>
      </c>
      <c r="E286" s="37" t="s">
        <v>593</v>
      </c>
      <c r="F286" s="116">
        <f aca="true" t="shared" si="200" ref="F286:X287">F287</f>
        <v>0</v>
      </c>
      <c r="G286" s="116">
        <f t="shared" si="200"/>
        <v>795704</v>
      </c>
      <c r="H286" s="117">
        <f t="shared" si="200"/>
        <v>795704</v>
      </c>
      <c r="I286" s="117">
        <f t="shared" si="200"/>
        <v>0</v>
      </c>
      <c r="J286" s="117">
        <f t="shared" si="200"/>
        <v>0</v>
      </c>
      <c r="K286" s="117">
        <f t="shared" si="200"/>
        <v>795704</v>
      </c>
      <c r="L286" s="117">
        <f t="shared" si="200"/>
        <v>0</v>
      </c>
      <c r="M286" s="117">
        <f t="shared" si="200"/>
        <v>0</v>
      </c>
      <c r="N286" s="117">
        <f t="shared" si="200"/>
        <v>795704</v>
      </c>
      <c r="O286" s="128"/>
      <c r="P286" s="117">
        <f t="shared" si="200"/>
        <v>0</v>
      </c>
      <c r="Q286" s="117">
        <f t="shared" si="200"/>
        <v>0</v>
      </c>
      <c r="R286" s="117">
        <f t="shared" si="200"/>
        <v>795704</v>
      </c>
      <c r="S286" s="117">
        <f t="shared" si="200"/>
        <v>0</v>
      </c>
      <c r="T286" s="117">
        <f t="shared" si="200"/>
        <v>0</v>
      </c>
      <c r="U286" s="82">
        <f t="shared" si="200"/>
        <v>795704</v>
      </c>
      <c r="V286" s="82">
        <f t="shared" si="200"/>
        <v>0</v>
      </c>
      <c r="W286" s="82">
        <f>W287</f>
        <v>-296704</v>
      </c>
      <c r="X286" s="82">
        <f t="shared" si="200"/>
        <v>499000</v>
      </c>
      <c r="AI286" s="82">
        <f aca="true" t="shared" si="201" ref="AI286:AM287">AI287</f>
        <v>0</v>
      </c>
      <c r="AJ286" s="82">
        <f t="shared" si="201"/>
        <v>499000</v>
      </c>
      <c r="AK286" s="82">
        <f t="shared" si="201"/>
        <v>0</v>
      </c>
      <c r="AL286" s="82">
        <f t="shared" si="201"/>
        <v>0</v>
      </c>
      <c r="AM286" s="82">
        <f t="shared" si="201"/>
        <v>499000</v>
      </c>
    </row>
    <row r="287" spans="1:39" s="53" customFormat="1" ht="18.75">
      <c r="A287" s="56"/>
      <c r="B287" s="56">
        <v>271</v>
      </c>
      <c r="C287" s="63"/>
      <c r="D287" s="153" t="s">
        <v>401</v>
      </c>
      <c r="E287" s="42" t="s">
        <v>560</v>
      </c>
      <c r="F287" s="124">
        <f t="shared" si="200"/>
        <v>0</v>
      </c>
      <c r="G287" s="110">
        <f t="shared" si="200"/>
        <v>795704</v>
      </c>
      <c r="H287" s="123">
        <f t="shared" si="200"/>
        <v>795704</v>
      </c>
      <c r="I287" s="123">
        <f t="shared" si="200"/>
        <v>0</v>
      </c>
      <c r="J287" s="123">
        <f t="shared" si="200"/>
        <v>0</v>
      </c>
      <c r="K287" s="123">
        <f t="shared" si="200"/>
        <v>795704</v>
      </c>
      <c r="L287" s="123">
        <f t="shared" si="200"/>
        <v>0</v>
      </c>
      <c r="M287" s="123">
        <f t="shared" si="200"/>
        <v>0</v>
      </c>
      <c r="N287" s="123">
        <f t="shared" si="200"/>
        <v>795704</v>
      </c>
      <c r="O287" s="128"/>
      <c r="P287" s="123">
        <f t="shared" si="200"/>
        <v>0</v>
      </c>
      <c r="Q287" s="123">
        <f t="shared" si="200"/>
        <v>0</v>
      </c>
      <c r="R287" s="123">
        <f t="shared" si="200"/>
        <v>795704</v>
      </c>
      <c r="S287" s="123">
        <f t="shared" si="200"/>
        <v>0</v>
      </c>
      <c r="T287" s="123">
        <f t="shared" si="200"/>
        <v>0</v>
      </c>
      <c r="U287" s="91">
        <f>U288</f>
        <v>795704</v>
      </c>
      <c r="V287" s="91">
        <f>V288</f>
        <v>0</v>
      </c>
      <c r="W287" s="91">
        <f>W288</f>
        <v>-296704</v>
      </c>
      <c r="X287" s="91">
        <f t="shared" si="200"/>
        <v>499000</v>
      </c>
      <c r="AI287" s="91">
        <f t="shared" si="201"/>
        <v>0</v>
      </c>
      <c r="AJ287" s="91">
        <f t="shared" si="201"/>
        <v>499000</v>
      </c>
      <c r="AK287" s="91">
        <f t="shared" si="201"/>
        <v>0</v>
      </c>
      <c r="AL287" s="91">
        <f t="shared" si="201"/>
        <v>0</v>
      </c>
      <c r="AM287" s="162">
        <f t="shared" si="201"/>
        <v>499000</v>
      </c>
    </row>
    <row r="288" spans="1:39" s="53" customFormat="1" ht="37.5" customHeight="1">
      <c r="A288" s="64"/>
      <c r="B288" s="64"/>
      <c r="C288" s="65">
        <v>9</v>
      </c>
      <c r="D288" s="152" t="s">
        <v>553</v>
      </c>
      <c r="E288" s="47" t="s">
        <v>265</v>
      </c>
      <c r="F288" s="124"/>
      <c r="G288" s="110">
        <v>795704</v>
      </c>
      <c r="H288" s="125">
        <f>F288+G288</f>
        <v>795704</v>
      </c>
      <c r="I288" s="125"/>
      <c r="J288" s="125"/>
      <c r="K288" s="125">
        <f>H288+I288+J288</f>
        <v>795704</v>
      </c>
      <c r="L288" s="125"/>
      <c r="M288" s="125"/>
      <c r="N288" s="125">
        <f>K288+L288+M288</f>
        <v>795704</v>
      </c>
      <c r="O288" s="128"/>
      <c r="P288" s="125"/>
      <c r="Q288" s="125"/>
      <c r="R288" s="109">
        <f>N288+P288+Q288</f>
        <v>795704</v>
      </c>
      <c r="S288" s="125"/>
      <c r="T288" s="125"/>
      <c r="U288" s="84">
        <f>Q288+R288</f>
        <v>795704</v>
      </c>
      <c r="V288" s="92"/>
      <c r="W288" s="92">
        <f>-296704</f>
        <v>-296704</v>
      </c>
      <c r="X288" s="84">
        <f>U288+V288+W288</f>
        <v>499000</v>
      </c>
      <c r="AI288" s="92"/>
      <c r="AJ288" s="156">
        <f>X288+AI288</f>
        <v>499000</v>
      </c>
      <c r="AK288" s="92"/>
      <c r="AL288" s="92"/>
      <c r="AM288" s="157">
        <f>AJ288+AK288+AL288</f>
        <v>499000</v>
      </c>
    </row>
    <row r="289" spans="1:39" s="53" customFormat="1" ht="56.25">
      <c r="A289" s="34">
        <v>10</v>
      </c>
      <c r="B289" s="34"/>
      <c r="C289" s="35"/>
      <c r="D289" s="37" t="s">
        <v>449</v>
      </c>
      <c r="E289" s="37" t="s">
        <v>12</v>
      </c>
      <c r="F289" s="116">
        <f aca="true" t="shared" si="202" ref="F289:X290">F290</f>
        <v>0</v>
      </c>
      <c r="G289" s="116">
        <f t="shared" si="202"/>
        <v>298184</v>
      </c>
      <c r="H289" s="117">
        <f t="shared" si="202"/>
        <v>298184</v>
      </c>
      <c r="I289" s="117">
        <f t="shared" si="202"/>
        <v>0</v>
      </c>
      <c r="J289" s="117">
        <f t="shared" si="202"/>
        <v>0</v>
      </c>
      <c r="K289" s="117">
        <f t="shared" si="202"/>
        <v>298184</v>
      </c>
      <c r="L289" s="117">
        <f t="shared" si="202"/>
        <v>0</v>
      </c>
      <c r="M289" s="117">
        <f t="shared" si="202"/>
        <v>0</v>
      </c>
      <c r="N289" s="117">
        <f t="shared" si="202"/>
        <v>298184</v>
      </c>
      <c r="O289" s="128"/>
      <c r="P289" s="117">
        <f t="shared" si="202"/>
        <v>0</v>
      </c>
      <c r="Q289" s="117">
        <f t="shared" si="202"/>
        <v>0</v>
      </c>
      <c r="R289" s="117">
        <f t="shared" si="202"/>
        <v>298184</v>
      </c>
      <c r="S289" s="117">
        <f t="shared" si="202"/>
        <v>0</v>
      </c>
      <c r="T289" s="117">
        <f t="shared" si="202"/>
        <v>0</v>
      </c>
      <c r="U289" s="82">
        <f t="shared" si="202"/>
        <v>298184</v>
      </c>
      <c r="V289" s="82">
        <f t="shared" si="202"/>
        <v>0</v>
      </c>
      <c r="W289" s="82">
        <f>W290</f>
        <v>0</v>
      </c>
      <c r="X289" s="82">
        <f t="shared" si="202"/>
        <v>298184</v>
      </c>
      <c r="AI289" s="82">
        <f aca="true" t="shared" si="203" ref="AI289:AM290">AI290</f>
        <v>0</v>
      </c>
      <c r="AJ289" s="82">
        <f t="shared" si="203"/>
        <v>298184</v>
      </c>
      <c r="AK289" s="82">
        <f t="shared" si="203"/>
        <v>0</v>
      </c>
      <c r="AL289" s="82">
        <f t="shared" si="203"/>
        <v>0</v>
      </c>
      <c r="AM289" s="82">
        <f t="shared" si="203"/>
        <v>298184</v>
      </c>
    </row>
    <row r="290" spans="1:39" s="53" customFormat="1" ht="24.75" customHeight="1">
      <c r="A290" s="56"/>
      <c r="B290" s="39">
        <v>258</v>
      </c>
      <c r="C290" s="63"/>
      <c r="D290" s="153" t="s">
        <v>365</v>
      </c>
      <c r="E290" s="153" t="s">
        <v>541</v>
      </c>
      <c r="F290" s="116">
        <f t="shared" si="202"/>
        <v>0</v>
      </c>
      <c r="G290" s="116">
        <f t="shared" si="202"/>
        <v>298184</v>
      </c>
      <c r="H290" s="117">
        <f t="shared" si="202"/>
        <v>298184</v>
      </c>
      <c r="I290" s="117">
        <f t="shared" si="202"/>
        <v>0</v>
      </c>
      <c r="J290" s="117">
        <f t="shared" si="202"/>
        <v>0</v>
      </c>
      <c r="K290" s="117">
        <f t="shared" si="202"/>
        <v>298184</v>
      </c>
      <c r="L290" s="117">
        <f t="shared" si="202"/>
        <v>0</v>
      </c>
      <c r="M290" s="117">
        <f t="shared" si="202"/>
        <v>0</v>
      </c>
      <c r="N290" s="117">
        <f t="shared" si="202"/>
        <v>298184</v>
      </c>
      <c r="O290" s="128"/>
      <c r="P290" s="117">
        <f t="shared" si="202"/>
        <v>0</v>
      </c>
      <c r="Q290" s="117">
        <f t="shared" si="202"/>
        <v>0</v>
      </c>
      <c r="R290" s="117">
        <f t="shared" si="202"/>
        <v>298184</v>
      </c>
      <c r="S290" s="117">
        <f t="shared" si="202"/>
        <v>0</v>
      </c>
      <c r="T290" s="117">
        <f t="shared" si="202"/>
        <v>0</v>
      </c>
      <c r="U290" s="83">
        <f t="shared" si="202"/>
        <v>298184</v>
      </c>
      <c r="V290" s="83">
        <f>V291</f>
        <v>0</v>
      </c>
      <c r="W290" s="83">
        <f>W291</f>
        <v>0</v>
      </c>
      <c r="X290" s="83">
        <f t="shared" si="202"/>
        <v>298184</v>
      </c>
      <c r="AI290" s="83">
        <f t="shared" si="203"/>
        <v>0</v>
      </c>
      <c r="AJ290" s="83">
        <f t="shared" si="203"/>
        <v>298184</v>
      </c>
      <c r="AK290" s="83">
        <f t="shared" si="203"/>
        <v>0</v>
      </c>
      <c r="AL290" s="83">
        <f t="shared" si="203"/>
        <v>0</v>
      </c>
      <c r="AM290" s="83">
        <f t="shared" si="203"/>
        <v>298184</v>
      </c>
    </row>
    <row r="291" spans="1:39" s="53" customFormat="1" ht="56.25">
      <c r="A291" s="64"/>
      <c r="B291" s="64"/>
      <c r="C291" s="65">
        <v>7</v>
      </c>
      <c r="D291" s="152" t="s">
        <v>469</v>
      </c>
      <c r="E291" s="47" t="s">
        <v>468</v>
      </c>
      <c r="F291" s="124"/>
      <c r="G291" s="110">
        <v>298184</v>
      </c>
      <c r="H291" s="125">
        <f>F291+G291</f>
        <v>298184</v>
      </c>
      <c r="I291" s="125"/>
      <c r="J291" s="125"/>
      <c r="K291" s="125">
        <f>H291+I291+J291</f>
        <v>298184</v>
      </c>
      <c r="L291" s="125"/>
      <c r="M291" s="125"/>
      <c r="N291" s="125">
        <f>K291+L291+M291</f>
        <v>298184</v>
      </c>
      <c r="O291" s="128"/>
      <c r="P291" s="125"/>
      <c r="Q291" s="125"/>
      <c r="R291" s="109">
        <f>N291+P291+Q291</f>
        <v>298184</v>
      </c>
      <c r="S291" s="125"/>
      <c r="T291" s="125"/>
      <c r="U291" s="84">
        <f>Q291+R291</f>
        <v>298184</v>
      </c>
      <c r="V291" s="92"/>
      <c r="W291" s="92"/>
      <c r="X291" s="84">
        <f>U291+V291</f>
        <v>298184</v>
      </c>
      <c r="AI291" s="92"/>
      <c r="AJ291" s="156">
        <f>X291+AI291</f>
        <v>298184</v>
      </c>
      <c r="AK291" s="92"/>
      <c r="AL291" s="92"/>
      <c r="AM291" s="156">
        <f>AJ291+AK291+AL291</f>
        <v>298184</v>
      </c>
    </row>
    <row r="292" spans="1:39" s="53" customFormat="1" ht="18.75">
      <c r="A292" s="34">
        <v>13</v>
      </c>
      <c r="B292" s="34"/>
      <c r="C292" s="35"/>
      <c r="D292" s="35" t="s">
        <v>496</v>
      </c>
      <c r="E292" s="37" t="s">
        <v>25</v>
      </c>
      <c r="F292" s="116">
        <f aca="true" t="shared" si="204" ref="F292:X293">F293</f>
        <v>150000</v>
      </c>
      <c r="G292" s="116">
        <f t="shared" si="204"/>
        <v>0</v>
      </c>
      <c r="H292" s="117">
        <f t="shared" si="204"/>
        <v>150000</v>
      </c>
      <c r="I292" s="117">
        <f t="shared" si="204"/>
        <v>0</v>
      </c>
      <c r="J292" s="117">
        <f t="shared" si="204"/>
        <v>0</v>
      </c>
      <c r="K292" s="117">
        <f t="shared" si="204"/>
        <v>150000</v>
      </c>
      <c r="L292" s="117">
        <f t="shared" si="204"/>
        <v>0</v>
      </c>
      <c r="M292" s="117">
        <f t="shared" si="204"/>
        <v>0</v>
      </c>
      <c r="N292" s="117">
        <f t="shared" si="204"/>
        <v>150000</v>
      </c>
      <c r="O292" s="128"/>
      <c r="P292" s="117">
        <f t="shared" si="204"/>
        <v>0</v>
      </c>
      <c r="Q292" s="117">
        <f t="shared" si="204"/>
        <v>0</v>
      </c>
      <c r="R292" s="117">
        <f t="shared" si="204"/>
        <v>150000</v>
      </c>
      <c r="S292" s="117">
        <f t="shared" si="204"/>
        <v>0</v>
      </c>
      <c r="T292" s="117">
        <f t="shared" si="204"/>
        <v>0</v>
      </c>
      <c r="U292" s="82">
        <f t="shared" si="204"/>
        <v>150000</v>
      </c>
      <c r="V292" s="82">
        <f t="shared" si="204"/>
        <v>0</v>
      </c>
      <c r="W292" s="82">
        <f>W293</f>
        <v>0</v>
      </c>
      <c r="X292" s="82">
        <f t="shared" si="204"/>
        <v>150000</v>
      </c>
      <c r="AI292" s="82">
        <f aca="true" t="shared" si="205" ref="AI292:AM293">AI293</f>
        <v>0</v>
      </c>
      <c r="AJ292" s="82">
        <f t="shared" si="205"/>
        <v>150000</v>
      </c>
      <c r="AK292" s="82">
        <f t="shared" si="205"/>
        <v>0</v>
      </c>
      <c r="AL292" s="82">
        <f t="shared" si="205"/>
        <v>0</v>
      </c>
      <c r="AM292" s="82">
        <f t="shared" si="205"/>
        <v>150000</v>
      </c>
    </row>
    <row r="293" spans="1:39" s="53" customFormat="1" ht="18.75">
      <c r="A293" s="56"/>
      <c r="B293" s="39">
        <v>265</v>
      </c>
      <c r="C293" s="63"/>
      <c r="D293" s="40" t="s">
        <v>499</v>
      </c>
      <c r="E293" s="42" t="s">
        <v>28</v>
      </c>
      <c r="F293" s="116">
        <f t="shared" si="204"/>
        <v>150000</v>
      </c>
      <c r="G293" s="116">
        <f t="shared" si="204"/>
        <v>0</v>
      </c>
      <c r="H293" s="117">
        <f t="shared" si="204"/>
        <v>150000</v>
      </c>
      <c r="I293" s="117">
        <f t="shared" si="204"/>
        <v>0</v>
      </c>
      <c r="J293" s="117">
        <f t="shared" si="204"/>
        <v>0</v>
      </c>
      <c r="K293" s="117">
        <f t="shared" si="204"/>
        <v>150000</v>
      </c>
      <c r="L293" s="117">
        <f t="shared" si="204"/>
        <v>0</v>
      </c>
      <c r="M293" s="117">
        <f t="shared" si="204"/>
        <v>0</v>
      </c>
      <c r="N293" s="117">
        <f t="shared" si="204"/>
        <v>150000</v>
      </c>
      <c r="O293" s="128"/>
      <c r="P293" s="117">
        <f t="shared" si="204"/>
        <v>0</v>
      </c>
      <c r="Q293" s="117">
        <f t="shared" si="204"/>
        <v>0</v>
      </c>
      <c r="R293" s="117">
        <f t="shared" si="204"/>
        <v>150000</v>
      </c>
      <c r="S293" s="117">
        <f t="shared" si="204"/>
        <v>0</v>
      </c>
      <c r="T293" s="117">
        <f t="shared" si="204"/>
        <v>0</v>
      </c>
      <c r="U293" s="83">
        <f t="shared" si="204"/>
        <v>150000</v>
      </c>
      <c r="V293" s="83">
        <f>V294</f>
        <v>0</v>
      </c>
      <c r="W293" s="83">
        <f>W294</f>
        <v>0</v>
      </c>
      <c r="X293" s="83">
        <f t="shared" si="204"/>
        <v>150000</v>
      </c>
      <c r="AI293" s="83">
        <f t="shared" si="205"/>
        <v>0</v>
      </c>
      <c r="AJ293" s="83">
        <f t="shared" si="205"/>
        <v>150000</v>
      </c>
      <c r="AK293" s="83">
        <f t="shared" si="205"/>
        <v>0</v>
      </c>
      <c r="AL293" s="83">
        <f t="shared" si="205"/>
        <v>0</v>
      </c>
      <c r="AM293" s="83">
        <f t="shared" si="205"/>
        <v>150000</v>
      </c>
    </row>
    <row r="294" spans="1:39" s="53" customFormat="1" ht="42.75" customHeight="1">
      <c r="A294" s="64"/>
      <c r="B294" s="64"/>
      <c r="C294" s="65">
        <v>10</v>
      </c>
      <c r="D294" s="152" t="s">
        <v>507</v>
      </c>
      <c r="E294" s="47" t="s">
        <v>266</v>
      </c>
      <c r="F294" s="118">
        <v>150000</v>
      </c>
      <c r="G294" s="118"/>
      <c r="H294" s="109">
        <f>F294+G294</f>
        <v>150000</v>
      </c>
      <c r="I294" s="109"/>
      <c r="J294" s="109"/>
      <c r="K294" s="109">
        <f>H294+I294+J294</f>
        <v>150000</v>
      </c>
      <c r="L294" s="109"/>
      <c r="M294" s="109"/>
      <c r="N294" s="109">
        <f>K294+L294+M294</f>
        <v>150000</v>
      </c>
      <c r="O294" s="128"/>
      <c r="P294" s="109"/>
      <c r="Q294" s="109"/>
      <c r="R294" s="109">
        <f>N294+P294+Q294</f>
        <v>150000</v>
      </c>
      <c r="S294" s="109"/>
      <c r="T294" s="109"/>
      <c r="U294" s="84">
        <f>Q294+R294</f>
        <v>150000</v>
      </c>
      <c r="V294" s="85"/>
      <c r="W294" s="85"/>
      <c r="X294" s="84">
        <f>U294+V294</f>
        <v>150000</v>
      </c>
      <c r="AI294" s="85"/>
      <c r="AJ294" s="156">
        <f>X294+AI294</f>
        <v>150000</v>
      </c>
      <c r="AK294" s="85"/>
      <c r="AL294" s="85"/>
      <c r="AM294" s="156">
        <f>AJ294+AK294+AL294</f>
        <v>150000</v>
      </c>
    </row>
    <row r="295" spans="1:39" s="53" customFormat="1" ht="18.75">
      <c r="A295" s="68">
        <v>5</v>
      </c>
      <c r="B295" s="68"/>
      <c r="C295" s="61"/>
      <c r="D295" s="61" t="s">
        <v>241</v>
      </c>
      <c r="E295" s="62" t="s">
        <v>267</v>
      </c>
      <c r="F295" s="116">
        <f aca="true" t="shared" si="206" ref="F295:X296">F296</f>
        <v>499030</v>
      </c>
      <c r="G295" s="116">
        <f t="shared" si="206"/>
        <v>0</v>
      </c>
      <c r="H295" s="117">
        <f t="shared" si="206"/>
        <v>499030</v>
      </c>
      <c r="I295" s="117">
        <f t="shared" si="206"/>
        <v>148850</v>
      </c>
      <c r="J295" s="117">
        <f t="shared" si="206"/>
        <v>0</v>
      </c>
      <c r="K295" s="117">
        <f t="shared" si="206"/>
        <v>647880</v>
      </c>
      <c r="L295" s="117">
        <f t="shared" si="206"/>
        <v>368161</v>
      </c>
      <c r="M295" s="117">
        <f t="shared" si="206"/>
        <v>0</v>
      </c>
      <c r="N295" s="117">
        <f t="shared" si="206"/>
        <v>1016041</v>
      </c>
      <c r="O295" s="128"/>
      <c r="P295" s="117">
        <f t="shared" si="206"/>
        <v>0</v>
      </c>
      <c r="Q295" s="117">
        <f t="shared" si="206"/>
        <v>0</v>
      </c>
      <c r="R295" s="117">
        <f t="shared" si="206"/>
        <v>1016041</v>
      </c>
      <c r="S295" s="117">
        <f t="shared" si="206"/>
        <v>0</v>
      </c>
      <c r="T295" s="117">
        <f t="shared" si="206"/>
        <v>0</v>
      </c>
      <c r="U295" s="93">
        <f t="shared" si="206"/>
        <v>1016041</v>
      </c>
      <c r="V295" s="93">
        <f t="shared" si="206"/>
        <v>0</v>
      </c>
      <c r="W295" s="93">
        <f>W296</f>
        <v>0</v>
      </c>
      <c r="X295" s="93">
        <f t="shared" si="206"/>
        <v>1016041</v>
      </c>
      <c r="AI295" s="93">
        <f aca="true" t="shared" si="207" ref="AI295:AM296">AI296</f>
        <v>0</v>
      </c>
      <c r="AJ295" s="93">
        <f t="shared" si="207"/>
        <v>1016041</v>
      </c>
      <c r="AK295" s="93">
        <f t="shared" si="207"/>
        <v>0</v>
      </c>
      <c r="AL295" s="93">
        <f t="shared" si="207"/>
        <v>0</v>
      </c>
      <c r="AM295" s="93">
        <f t="shared" si="207"/>
        <v>1016041</v>
      </c>
    </row>
    <row r="296" spans="1:39" s="53" customFormat="1" ht="18.75">
      <c r="A296" s="56"/>
      <c r="B296" s="39">
        <v>1</v>
      </c>
      <c r="C296" s="63"/>
      <c r="D296" s="63" t="s">
        <v>241</v>
      </c>
      <c r="E296" s="42" t="s">
        <v>267</v>
      </c>
      <c r="F296" s="118">
        <f t="shared" si="206"/>
        <v>499030</v>
      </c>
      <c r="G296" s="118">
        <f t="shared" si="206"/>
        <v>0</v>
      </c>
      <c r="H296" s="109">
        <f t="shared" si="206"/>
        <v>499030</v>
      </c>
      <c r="I296" s="109">
        <f t="shared" si="206"/>
        <v>148850</v>
      </c>
      <c r="J296" s="109">
        <f t="shared" si="206"/>
        <v>0</v>
      </c>
      <c r="K296" s="109">
        <f t="shared" si="206"/>
        <v>647880</v>
      </c>
      <c r="L296" s="109">
        <f t="shared" si="206"/>
        <v>368161</v>
      </c>
      <c r="M296" s="109">
        <f t="shared" si="206"/>
        <v>0</v>
      </c>
      <c r="N296" s="109">
        <f t="shared" si="206"/>
        <v>1016041</v>
      </c>
      <c r="O296" s="128"/>
      <c r="P296" s="109">
        <f t="shared" si="206"/>
        <v>0</v>
      </c>
      <c r="Q296" s="109">
        <f t="shared" si="206"/>
        <v>0</v>
      </c>
      <c r="R296" s="109">
        <f t="shared" si="206"/>
        <v>1016041</v>
      </c>
      <c r="S296" s="109">
        <f t="shared" si="206"/>
        <v>0</v>
      </c>
      <c r="T296" s="109">
        <f t="shared" si="206"/>
        <v>0</v>
      </c>
      <c r="U296" s="94">
        <f t="shared" si="206"/>
        <v>1016041</v>
      </c>
      <c r="V296" s="94">
        <f>V297</f>
        <v>0</v>
      </c>
      <c r="W296" s="94">
        <f>W297</f>
        <v>0</v>
      </c>
      <c r="X296" s="94">
        <f t="shared" si="206"/>
        <v>1016041</v>
      </c>
      <c r="AI296" s="94">
        <f t="shared" si="207"/>
        <v>0</v>
      </c>
      <c r="AJ296" s="94">
        <f t="shared" si="207"/>
        <v>1016041</v>
      </c>
      <c r="AK296" s="94">
        <f t="shared" si="207"/>
        <v>0</v>
      </c>
      <c r="AL296" s="94">
        <f t="shared" si="207"/>
        <v>0</v>
      </c>
      <c r="AM296" s="94">
        <f t="shared" si="207"/>
        <v>1016041</v>
      </c>
    </row>
    <row r="297" spans="1:39" s="53" customFormat="1" ht="37.5">
      <c r="A297" s="64"/>
      <c r="B297" s="64"/>
      <c r="C297" s="65">
        <v>1</v>
      </c>
      <c r="D297" s="47" t="s">
        <v>242</v>
      </c>
      <c r="E297" s="47" t="s">
        <v>268</v>
      </c>
      <c r="F297" s="118">
        <f>84030+415000</f>
        <v>499030</v>
      </c>
      <c r="G297" s="118"/>
      <c r="H297" s="109">
        <f>F297+G297</f>
        <v>499030</v>
      </c>
      <c r="I297" s="109">
        <f>178850-30000</f>
        <v>148850</v>
      </c>
      <c r="J297" s="109"/>
      <c r="K297" s="109">
        <f>H297+I297+J297</f>
        <v>647880</v>
      </c>
      <c r="L297" s="109">
        <f>368161</f>
        <v>368161</v>
      </c>
      <c r="M297" s="109"/>
      <c r="N297" s="109">
        <f>K297+L297+M297</f>
        <v>1016041</v>
      </c>
      <c r="O297" s="128"/>
      <c r="P297" s="109"/>
      <c r="Q297" s="109"/>
      <c r="R297" s="109">
        <f>N297+P297+Q297</f>
        <v>1016041</v>
      </c>
      <c r="S297" s="109"/>
      <c r="T297" s="109"/>
      <c r="U297" s="84">
        <f>Q297+R297</f>
        <v>1016041</v>
      </c>
      <c r="V297" s="85"/>
      <c r="W297" s="85"/>
      <c r="X297" s="84">
        <f>U297+V297</f>
        <v>1016041</v>
      </c>
      <c r="AI297" s="85"/>
      <c r="AJ297" s="156">
        <f>X297+AI297</f>
        <v>1016041</v>
      </c>
      <c r="AK297" s="85"/>
      <c r="AL297" s="85"/>
      <c r="AM297" s="156">
        <f>AJ297+AK297+AL297</f>
        <v>1016041</v>
      </c>
    </row>
    <row r="298" spans="1:39" s="53" customFormat="1" ht="28.5" customHeight="1">
      <c r="A298" s="57"/>
      <c r="B298" s="57"/>
      <c r="C298" s="58"/>
      <c r="D298" s="167" t="s">
        <v>508</v>
      </c>
      <c r="E298" s="73" t="s">
        <v>269</v>
      </c>
      <c r="F298" s="122">
        <f aca="true" t="shared" si="208" ref="F298:K298">F299-F303</f>
        <v>-2777</v>
      </c>
      <c r="G298" s="122">
        <f t="shared" si="208"/>
        <v>0</v>
      </c>
      <c r="H298" s="123">
        <f t="shared" si="208"/>
        <v>-2777</v>
      </c>
      <c r="I298" s="123">
        <f t="shared" si="208"/>
        <v>0</v>
      </c>
      <c r="J298" s="123">
        <f t="shared" si="208"/>
        <v>0</v>
      </c>
      <c r="K298" s="123">
        <f t="shared" si="208"/>
        <v>-2777</v>
      </c>
      <c r="L298" s="123">
        <f>L299-L303</f>
        <v>27000</v>
      </c>
      <c r="M298" s="123">
        <f>M299-M303</f>
        <v>0</v>
      </c>
      <c r="N298" s="123">
        <f>N299-N303</f>
        <v>24223</v>
      </c>
      <c r="O298" s="128"/>
      <c r="P298" s="123">
        <f aca="true" t="shared" si="209" ref="P298:U298">P299-P303</f>
        <v>0</v>
      </c>
      <c r="Q298" s="123">
        <f t="shared" si="209"/>
        <v>0</v>
      </c>
      <c r="R298" s="123">
        <f t="shared" si="209"/>
        <v>24223</v>
      </c>
      <c r="S298" s="123">
        <f t="shared" si="209"/>
        <v>0</v>
      </c>
      <c r="T298" s="123">
        <f t="shared" si="209"/>
        <v>0</v>
      </c>
      <c r="U298" s="89">
        <f t="shared" si="209"/>
        <v>24223</v>
      </c>
      <c r="V298" s="89">
        <f>V299-V303</f>
        <v>3000</v>
      </c>
      <c r="W298" s="89">
        <f>W299-W303</f>
        <v>0</v>
      </c>
      <c r="X298" s="89">
        <f>X299-X303</f>
        <v>27223</v>
      </c>
      <c r="AI298" s="89">
        <f>AI299-AI303</f>
        <v>0</v>
      </c>
      <c r="AJ298" s="89">
        <f>AJ299-AJ303</f>
        <v>27223</v>
      </c>
      <c r="AK298" s="89">
        <f>AK299-AK303</f>
        <v>0</v>
      </c>
      <c r="AL298" s="89">
        <f>AL299-AL303</f>
        <v>0</v>
      </c>
      <c r="AM298" s="89">
        <f>AM299-AM303</f>
        <v>27223</v>
      </c>
    </row>
    <row r="299" spans="1:39" s="53" customFormat="1" ht="18.75">
      <c r="A299" s="59"/>
      <c r="B299" s="59"/>
      <c r="C299" s="60"/>
      <c r="D299" s="61" t="s">
        <v>358</v>
      </c>
      <c r="E299" s="62" t="s">
        <v>270</v>
      </c>
      <c r="F299" s="122">
        <f aca="true" t="shared" si="210" ref="F299:X301">F300</f>
        <v>0</v>
      </c>
      <c r="G299" s="122">
        <f t="shared" si="210"/>
        <v>0</v>
      </c>
      <c r="H299" s="123">
        <f t="shared" si="210"/>
        <v>0</v>
      </c>
      <c r="I299" s="123">
        <f t="shared" si="210"/>
        <v>0</v>
      </c>
      <c r="J299" s="123">
        <f t="shared" si="210"/>
        <v>0</v>
      </c>
      <c r="K299" s="123">
        <f t="shared" si="210"/>
        <v>0</v>
      </c>
      <c r="L299" s="123">
        <f t="shared" si="210"/>
        <v>27000</v>
      </c>
      <c r="M299" s="123">
        <f t="shared" si="210"/>
        <v>0</v>
      </c>
      <c r="N299" s="123">
        <f t="shared" si="210"/>
        <v>27000</v>
      </c>
      <c r="O299" s="128"/>
      <c r="P299" s="123">
        <f t="shared" si="210"/>
        <v>0</v>
      </c>
      <c r="Q299" s="123">
        <f t="shared" si="210"/>
        <v>0</v>
      </c>
      <c r="R299" s="123">
        <f t="shared" si="210"/>
        <v>27000</v>
      </c>
      <c r="S299" s="123">
        <f t="shared" si="210"/>
        <v>0</v>
      </c>
      <c r="T299" s="123">
        <f t="shared" si="210"/>
        <v>0</v>
      </c>
      <c r="U299" s="90">
        <f t="shared" si="210"/>
        <v>27000</v>
      </c>
      <c r="V299" s="90">
        <f t="shared" si="210"/>
        <v>3000</v>
      </c>
      <c r="W299" s="90">
        <f aca="true" t="shared" si="211" ref="V299:W301">W300</f>
        <v>0</v>
      </c>
      <c r="X299" s="90">
        <f t="shared" si="210"/>
        <v>30000</v>
      </c>
      <c r="AI299" s="90">
        <f aca="true" t="shared" si="212" ref="AI299:AM301">AI300</f>
        <v>0</v>
      </c>
      <c r="AJ299" s="90">
        <f t="shared" si="212"/>
        <v>30000</v>
      </c>
      <c r="AK299" s="90">
        <f t="shared" si="212"/>
        <v>0</v>
      </c>
      <c r="AL299" s="90">
        <f t="shared" si="212"/>
        <v>0</v>
      </c>
      <c r="AM299" s="90">
        <f t="shared" si="212"/>
        <v>30000</v>
      </c>
    </row>
    <row r="300" spans="1:39" s="53" customFormat="1" ht="18.75">
      <c r="A300" s="34">
        <v>13</v>
      </c>
      <c r="B300" s="34"/>
      <c r="C300" s="35"/>
      <c r="D300" s="35" t="s">
        <v>496</v>
      </c>
      <c r="E300" s="37" t="s">
        <v>25</v>
      </c>
      <c r="F300" s="116">
        <f t="shared" si="210"/>
        <v>0</v>
      </c>
      <c r="G300" s="116">
        <f t="shared" si="210"/>
        <v>0</v>
      </c>
      <c r="H300" s="117">
        <f t="shared" si="210"/>
        <v>0</v>
      </c>
      <c r="I300" s="117">
        <f t="shared" si="210"/>
        <v>0</v>
      </c>
      <c r="J300" s="117">
        <f t="shared" si="210"/>
        <v>0</v>
      </c>
      <c r="K300" s="117">
        <f t="shared" si="210"/>
        <v>0</v>
      </c>
      <c r="L300" s="117">
        <f t="shared" si="210"/>
        <v>27000</v>
      </c>
      <c r="M300" s="117">
        <f t="shared" si="210"/>
        <v>0</v>
      </c>
      <c r="N300" s="117">
        <f t="shared" si="210"/>
        <v>27000</v>
      </c>
      <c r="O300" s="128"/>
      <c r="P300" s="117">
        <f t="shared" si="210"/>
        <v>0</v>
      </c>
      <c r="Q300" s="117">
        <f t="shared" si="210"/>
        <v>0</v>
      </c>
      <c r="R300" s="117">
        <f t="shared" si="210"/>
        <v>27000</v>
      </c>
      <c r="S300" s="117">
        <f t="shared" si="210"/>
        <v>0</v>
      </c>
      <c r="T300" s="117">
        <f t="shared" si="210"/>
        <v>0</v>
      </c>
      <c r="U300" s="82">
        <f t="shared" si="210"/>
        <v>27000</v>
      </c>
      <c r="V300" s="82">
        <f t="shared" si="211"/>
        <v>3000</v>
      </c>
      <c r="W300" s="82">
        <f t="shared" si="211"/>
        <v>0</v>
      </c>
      <c r="X300" s="82">
        <f t="shared" si="210"/>
        <v>30000</v>
      </c>
      <c r="AI300" s="82">
        <f t="shared" si="212"/>
        <v>0</v>
      </c>
      <c r="AJ300" s="82">
        <f t="shared" si="212"/>
        <v>30000</v>
      </c>
      <c r="AK300" s="82">
        <f t="shared" si="212"/>
        <v>0</v>
      </c>
      <c r="AL300" s="82">
        <f t="shared" si="212"/>
        <v>0</v>
      </c>
      <c r="AM300" s="82">
        <f t="shared" si="212"/>
        <v>30000</v>
      </c>
    </row>
    <row r="301" spans="1:39" s="53" customFormat="1" ht="18.75">
      <c r="A301" s="56"/>
      <c r="B301" s="39">
        <v>257</v>
      </c>
      <c r="C301" s="63"/>
      <c r="D301" s="40" t="s">
        <v>362</v>
      </c>
      <c r="E301" s="42" t="s">
        <v>539</v>
      </c>
      <c r="F301" s="118">
        <f t="shared" si="210"/>
        <v>0</v>
      </c>
      <c r="G301" s="118">
        <f t="shared" si="210"/>
        <v>0</v>
      </c>
      <c r="H301" s="109">
        <f t="shared" si="210"/>
        <v>0</v>
      </c>
      <c r="I301" s="109">
        <f t="shared" si="210"/>
        <v>0</v>
      </c>
      <c r="J301" s="109">
        <f t="shared" si="210"/>
        <v>0</v>
      </c>
      <c r="K301" s="109">
        <f t="shared" si="210"/>
        <v>0</v>
      </c>
      <c r="L301" s="109">
        <f t="shared" si="210"/>
        <v>27000</v>
      </c>
      <c r="M301" s="109">
        <f t="shared" si="210"/>
        <v>0</v>
      </c>
      <c r="N301" s="109">
        <f t="shared" si="210"/>
        <v>27000</v>
      </c>
      <c r="O301" s="128"/>
      <c r="P301" s="109">
        <f t="shared" si="210"/>
        <v>0</v>
      </c>
      <c r="Q301" s="109">
        <f t="shared" si="210"/>
        <v>0</v>
      </c>
      <c r="R301" s="109">
        <f t="shared" si="210"/>
        <v>27000</v>
      </c>
      <c r="S301" s="109">
        <f t="shared" si="210"/>
        <v>0</v>
      </c>
      <c r="T301" s="109">
        <f t="shared" si="210"/>
        <v>0</v>
      </c>
      <c r="U301" s="94">
        <f t="shared" si="210"/>
        <v>27000</v>
      </c>
      <c r="V301" s="94">
        <f t="shared" si="211"/>
        <v>3000</v>
      </c>
      <c r="W301" s="94">
        <f t="shared" si="211"/>
        <v>0</v>
      </c>
      <c r="X301" s="94">
        <f t="shared" si="210"/>
        <v>30000</v>
      </c>
      <c r="AI301" s="94">
        <f t="shared" si="212"/>
        <v>0</v>
      </c>
      <c r="AJ301" s="94">
        <f t="shared" si="212"/>
        <v>30000</v>
      </c>
      <c r="AK301" s="94">
        <f t="shared" si="212"/>
        <v>0</v>
      </c>
      <c r="AL301" s="94">
        <f t="shared" si="212"/>
        <v>0</v>
      </c>
      <c r="AM301" s="94">
        <f t="shared" si="212"/>
        <v>30000</v>
      </c>
    </row>
    <row r="302" spans="1:39" s="53" customFormat="1" ht="37.5" customHeight="1">
      <c r="A302" s="64"/>
      <c r="B302" s="64"/>
      <c r="C302" s="65">
        <v>5</v>
      </c>
      <c r="D302" s="69" t="s">
        <v>359</v>
      </c>
      <c r="E302" s="47" t="s">
        <v>26</v>
      </c>
      <c r="F302" s="118"/>
      <c r="G302" s="118"/>
      <c r="H302" s="109">
        <f aca="true" t="shared" si="213" ref="H302:N302">F302+G302</f>
        <v>0</v>
      </c>
      <c r="I302" s="109">
        <f t="shared" si="213"/>
        <v>0</v>
      </c>
      <c r="J302" s="109">
        <f t="shared" si="213"/>
        <v>0</v>
      </c>
      <c r="K302" s="109">
        <f t="shared" si="213"/>
        <v>0</v>
      </c>
      <c r="L302" s="109">
        <v>27000</v>
      </c>
      <c r="M302" s="109"/>
      <c r="N302" s="109">
        <f t="shared" si="213"/>
        <v>27000</v>
      </c>
      <c r="O302" s="128"/>
      <c r="P302" s="109"/>
      <c r="Q302" s="109"/>
      <c r="R302" s="109">
        <f>N302+P302+Q302</f>
        <v>27000</v>
      </c>
      <c r="S302" s="109"/>
      <c r="T302" s="109"/>
      <c r="U302" s="84">
        <f>Q302+R302</f>
        <v>27000</v>
      </c>
      <c r="V302" s="85">
        <v>3000</v>
      </c>
      <c r="W302" s="85"/>
      <c r="X302" s="84">
        <f>U302+V302</f>
        <v>30000</v>
      </c>
      <c r="AI302" s="85"/>
      <c r="AJ302" s="156">
        <f>X302+AI302</f>
        <v>30000</v>
      </c>
      <c r="AK302" s="85"/>
      <c r="AL302" s="85"/>
      <c r="AM302" s="156">
        <f>AJ302+AK302+AL302</f>
        <v>30000</v>
      </c>
    </row>
    <row r="303" spans="1:39" s="53" customFormat="1" ht="18.75">
      <c r="A303" s="68">
        <v>6</v>
      </c>
      <c r="B303" s="59"/>
      <c r="C303" s="60"/>
      <c r="D303" s="168" t="s">
        <v>509</v>
      </c>
      <c r="E303" s="62" t="s">
        <v>271</v>
      </c>
      <c r="F303" s="124">
        <f aca="true" t="shared" si="214" ref="F303:X304">F304</f>
        <v>2777</v>
      </c>
      <c r="G303" s="124">
        <f t="shared" si="214"/>
        <v>0</v>
      </c>
      <c r="H303" s="123">
        <f t="shared" si="214"/>
        <v>2777</v>
      </c>
      <c r="I303" s="123">
        <f t="shared" si="214"/>
        <v>0</v>
      </c>
      <c r="J303" s="123">
        <f t="shared" si="214"/>
        <v>0</v>
      </c>
      <c r="K303" s="123">
        <f t="shared" si="214"/>
        <v>2777</v>
      </c>
      <c r="L303" s="123">
        <f t="shared" si="214"/>
        <v>0</v>
      </c>
      <c r="M303" s="123">
        <f t="shared" si="214"/>
        <v>0</v>
      </c>
      <c r="N303" s="123">
        <f t="shared" si="214"/>
        <v>2777</v>
      </c>
      <c r="O303" s="128"/>
      <c r="P303" s="123">
        <f t="shared" si="214"/>
        <v>0</v>
      </c>
      <c r="Q303" s="123">
        <f t="shared" si="214"/>
        <v>0</v>
      </c>
      <c r="R303" s="123">
        <f t="shared" si="214"/>
        <v>2777</v>
      </c>
      <c r="S303" s="123">
        <f t="shared" si="214"/>
        <v>0</v>
      </c>
      <c r="T303" s="123">
        <f t="shared" si="214"/>
        <v>0</v>
      </c>
      <c r="U303" s="90">
        <f t="shared" si="214"/>
        <v>2777</v>
      </c>
      <c r="V303" s="90">
        <f t="shared" si="214"/>
        <v>0</v>
      </c>
      <c r="W303" s="90">
        <f>W304</f>
        <v>0</v>
      </c>
      <c r="X303" s="90">
        <f t="shared" si="214"/>
        <v>2777</v>
      </c>
      <c r="AI303" s="90">
        <f aca="true" t="shared" si="215" ref="AI303:AM304">AI304</f>
        <v>0</v>
      </c>
      <c r="AJ303" s="90">
        <f t="shared" si="215"/>
        <v>2777</v>
      </c>
      <c r="AK303" s="90">
        <f t="shared" si="215"/>
        <v>0</v>
      </c>
      <c r="AL303" s="90">
        <f t="shared" si="215"/>
        <v>0</v>
      </c>
      <c r="AM303" s="90">
        <f t="shared" si="215"/>
        <v>2777</v>
      </c>
    </row>
    <row r="304" spans="1:39" s="53" customFormat="1" ht="18.75">
      <c r="A304" s="56"/>
      <c r="B304" s="39">
        <v>1</v>
      </c>
      <c r="C304" s="63"/>
      <c r="D304" s="169" t="s">
        <v>509</v>
      </c>
      <c r="E304" s="42" t="s">
        <v>271</v>
      </c>
      <c r="F304" s="118">
        <f t="shared" si="214"/>
        <v>2777</v>
      </c>
      <c r="G304" s="118">
        <f t="shared" si="214"/>
        <v>0</v>
      </c>
      <c r="H304" s="109">
        <f t="shared" si="214"/>
        <v>2777</v>
      </c>
      <c r="I304" s="109">
        <f t="shared" si="214"/>
        <v>0</v>
      </c>
      <c r="J304" s="109">
        <f t="shared" si="214"/>
        <v>0</v>
      </c>
      <c r="K304" s="109">
        <f t="shared" si="214"/>
        <v>2777</v>
      </c>
      <c r="L304" s="109">
        <f t="shared" si="214"/>
        <v>0</v>
      </c>
      <c r="M304" s="109">
        <f t="shared" si="214"/>
        <v>0</v>
      </c>
      <c r="N304" s="109">
        <f t="shared" si="214"/>
        <v>2777</v>
      </c>
      <c r="O304" s="128"/>
      <c r="P304" s="109">
        <f t="shared" si="214"/>
        <v>0</v>
      </c>
      <c r="Q304" s="109">
        <f t="shared" si="214"/>
        <v>0</v>
      </c>
      <c r="R304" s="109">
        <f t="shared" si="214"/>
        <v>2777</v>
      </c>
      <c r="S304" s="109">
        <f t="shared" si="214"/>
        <v>0</v>
      </c>
      <c r="T304" s="109">
        <f t="shared" si="214"/>
        <v>0</v>
      </c>
      <c r="U304" s="94">
        <f t="shared" si="214"/>
        <v>2777</v>
      </c>
      <c r="V304" s="94">
        <f>V305</f>
        <v>0</v>
      </c>
      <c r="W304" s="94">
        <f>W305</f>
        <v>0</v>
      </c>
      <c r="X304" s="94">
        <f t="shared" si="214"/>
        <v>2777</v>
      </c>
      <c r="AI304" s="94">
        <f t="shared" si="215"/>
        <v>0</v>
      </c>
      <c r="AJ304" s="94">
        <f t="shared" si="215"/>
        <v>2777</v>
      </c>
      <c r="AK304" s="94">
        <f t="shared" si="215"/>
        <v>0</v>
      </c>
      <c r="AL304" s="94">
        <f t="shared" si="215"/>
        <v>0</v>
      </c>
      <c r="AM304" s="94">
        <f t="shared" si="215"/>
        <v>2777</v>
      </c>
    </row>
    <row r="305" spans="1:39" s="53" customFormat="1" ht="18.75">
      <c r="A305" s="64"/>
      <c r="B305" s="64"/>
      <c r="C305" s="65">
        <v>1</v>
      </c>
      <c r="D305" s="152" t="s">
        <v>510</v>
      </c>
      <c r="E305" s="47" t="s">
        <v>272</v>
      </c>
      <c r="F305" s="118">
        <v>2777</v>
      </c>
      <c r="G305" s="118"/>
      <c r="H305" s="109">
        <f>F305+G305</f>
        <v>2777</v>
      </c>
      <c r="I305" s="109"/>
      <c r="J305" s="109"/>
      <c r="K305" s="109">
        <f>H305+I305+J305</f>
        <v>2777</v>
      </c>
      <c r="L305" s="109"/>
      <c r="M305" s="109"/>
      <c r="N305" s="109">
        <f>K305+L305+M305</f>
        <v>2777</v>
      </c>
      <c r="O305" s="128"/>
      <c r="P305" s="109"/>
      <c r="Q305" s="109"/>
      <c r="R305" s="109">
        <f>N305+P305+Q305</f>
        <v>2777</v>
      </c>
      <c r="S305" s="109"/>
      <c r="T305" s="109"/>
      <c r="U305" s="84">
        <f>Q305+R305</f>
        <v>2777</v>
      </c>
      <c r="V305" s="85"/>
      <c r="W305" s="85"/>
      <c r="X305" s="84">
        <f>U305+V305</f>
        <v>2777</v>
      </c>
      <c r="AI305" s="85"/>
      <c r="AJ305" s="156">
        <f>X305+AI305</f>
        <v>2777</v>
      </c>
      <c r="AK305" s="85"/>
      <c r="AL305" s="85"/>
      <c r="AM305" s="156">
        <f>AJ305+AK305+AL305</f>
        <v>2777</v>
      </c>
    </row>
    <row r="306" spans="1:39" s="53" customFormat="1" ht="18.75">
      <c r="A306" s="57"/>
      <c r="B306" s="57"/>
      <c r="C306" s="58"/>
      <c r="D306" s="74" t="s">
        <v>511</v>
      </c>
      <c r="E306" s="73" t="s">
        <v>273</v>
      </c>
      <c r="F306" s="122">
        <f aca="true" t="shared" si="216" ref="F306:K306">F283-F284-F298</f>
        <v>27851098</v>
      </c>
      <c r="G306" s="122">
        <f t="shared" si="216"/>
        <v>-36864521.3</v>
      </c>
      <c r="H306" s="123">
        <f t="shared" si="216"/>
        <v>27106479</v>
      </c>
      <c r="I306" s="123">
        <f t="shared" si="216"/>
        <v>148850</v>
      </c>
      <c r="J306" s="123">
        <f t="shared" si="216"/>
        <v>0</v>
      </c>
      <c r="K306" s="123">
        <f t="shared" si="216"/>
        <v>25816874</v>
      </c>
      <c r="L306" s="123">
        <f>L283-L284-L298</f>
        <v>-813297.5</v>
      </c>
      <c r="M306" s="123">
        <f>M283-M284-M298</f>
        <v>-575102.2</v>
      </c>
      <c r="N306" s="123">
        <f>N283-N284-N298</f>
        <v>24429752.299999982</v>
      </c>
      <c r="O306" s="128"/>
      <c r="P306" s="123">
        <f aca="true" t="shared" si="217" ref="P306:U306">P283-P284-P298</f>
        <v>50000</v>
      </c>
      <c r="Q306" s="123">
        <f t="shared" si="217"/>
        <v>0</v>
      </c>
      <c r="R306" s="123">
        <f t="shared" si="217"/>
        <v>-678888.0000000149</v>
      </c>
      <c r="S306" s="123">
        <f t="shared" si="217"/>
        <v>0</v>
      </c>
      <c r="T306" s="123">
        <f t="shared" si="217"/>
        <v>90443770.69999999</v>
      </c>
      <c r="U306" s="89">
        <f t="shared" si="217"/>
        <v>-678888.0000000149</v>
      </c>
      <c r="V306" s="89">
        <f>V283-V284-V298</f>
        <v>-578349.5</v>
      </c>
      <c r="W306" s="89">
        <f>W283-W284-W298</f>
        <v>875053.4999999999</v>
      </c>
      <c r="X306" s="89">
        <f>X283-X284-X298</f>
        <v>-382184</v>
      </c>
      <c r="Y306" s="89">
        <f aca="true" t="shared" si="218" ref="Y306:AL306">Y283-Y284-Y298</f>
        <v>0</v>
      </c>
      <c r="Z306" s="89">
        <f t="shared" si="218"/>
        <v>0</v>
      </c>
      <c r="AA306" s="89">
        <f t="shared" si="218"/>
        <v>0</v>
      </c>
      <c r="AB306" s="89">
        <f t="shared" si="218"/>
        <v>0</v>
      </c>
      <c r="AC306" s="89">
        <f t="shared" si="218"/>
        <v>0</v>
      </c>
      <c r="AD306" s="89">
        <f t="shared" si="218"/>
        <v>0</v>
      </c>
      <c r="AE306" s="89">
        <f t="shared" si="218"/>
        <v>0</v>
      </c>
      <c r="AF306" s="89">
        <f t="shared" si="218"/>
        <v>0</v>
      </c>
      <c r="AG306" s="89">
        <f t="shared" si="218"/>
        <v>0</v>
      </c>
      <c r="AH306" s="89">
        <f t="shared" si="218"/>
        <v>0</v>
      </c>
      <c r="AI306" s="89">
        <f t="shared" si="218"/>
        <v>0</v>
      </c>
      <c r="AJ306" s="89">
        <f t="shared" si="218"/>
        <v>-382184</v>
      </c>
      <c r="AK306" s="89">
        <f t="shared" si="218"/>
        <v>0</v>
      </c>
      <c r="AL306" s="89">
        <f t="shared" si="218"/>
        <v>0</v>
      </c>
      <c r="AM306" s="89">
        <f>AM283-AM284-AM298</f>
        <v>-382184</v>
      </c>
    </row>
    <row r="307" spans="1:39" s="38" customFormat="1" ht="37.5">
      <c r="A307" s="57"/>
      <c r="B307" s="57"/>
      <c r="C307" s="58"/>
      <c r="D307" s="167" t="s">
        <v>512</v>
      </c>
      <c r="E307" s="73" t="s">
        <v>274</v>
      </c>
      <c r="F307" s="122">
        <f aca="true" t="shared" si="219" ref="F307:K307">(-1)*(F312-F308)</f>
        <v>-415000</v>
      </c>
      <c r="G307" s="122">
        <f t="shared" si="219"/>
        <v>1093888</v>
      </c>
      <c r="H307" s="123">
        <f t="shared" si="219"/>
        <v>678888</v>
      </c>
      <c r="I307" s="123">
        <f t="shared" si="219"/>
        <v>0</v>
      </c>
      <c r="J307" s="123">
        <f t="shared" si="219"/>
        <v>0</v>
      </c>
      <c r="K307" s="123">
        <f t="shared" si="219"/>
        <v>678888</v>
      </c>
      <c r="L307" s="123">
        <f>(-1)*(L312-L308)</f>
        <v>-415000</v>
      </c>
      <c r="M307" s="123">
        <f>(-1)*(M312-M308)</f>
        <v>415000</v>
      </c>
      <c r="N307" s="123">
        <f>(-1)*(N312-N308)</f>
        <v>678888</v>
      </c>
      <c r="O307" s="128"/>
      <c r="P307" s="123">
        <f aca="true" t="shared" si="220" ref="P307:U307">(-1)*(P312-P308)</f>
        <v>0</v>
      </c>
      <c r="Q307" s="123">
        <f t="shared" si="220"/>
        <v>0</v>
      </c>
      <c r="R307" s="123">
        <f t="shared" si="220"/>
        <v>678888</v>
      </c>
      <c r="S307" s="123">
        <f t="shared" si="220"/>
        <v>0</v>
      </c>
      <c r="T307" s="123">
        <f t="shared" si="220"/>
        <v>0</v>
      </c>
      <c r="U307" s="89">
        <f t="shared" si="220"/>
        <v>678888</v>
      </c>
      <c r="V307" s="89">
        <f>(-1)*(V312-V308)</f>
        <v>0</v>
      </c>
      <c r="W307" s="89">
        <f>(-1)*(W312-W308)</f>
        <v>-296704</v>
      </c>
      <c r="X307" s="89">
        <f>(-1)*(X312-X308)</f>
        <v>382184</v>
      </c>
      <c r="Y307" s="89">
        <f aca="true" t="shared" si="221" ref="Y307:AK307">(-1)*(Y312-Y308)</f>
        <v>0</v>
      </c>
      <c r="Z307" s="89">
        <f t="shared" si="221"/>
        <v>0</v>
      </c>
      <c r="AA307" s="89">
        <f t="shared" si="221"/>
        <v>0</v>
      </c>
      <c r="AB307" s="89">
        <f t="shared" si="221"/>
        <v>0</v>
      </c>
      <c r="AC307" s="89">
        <f t="shared" si="221"/>
        <v>0</v>
      </c>
      <c r="AD307" s="89">
        <f t="shared" si="221"/>
        <v>0</v>
      </c>
      <c r="AE307" s="89">
        <f t="shared" si="221"/>
        <v>0</v>
      </c>
      <c r="AF307" s="89">
        <f t="shared" si="221"/>
        <v>0</v>
      </c>
      <c r="AG307" s="89">
        <f t="shared" si="221"/>
        <v>0</v>
      </c>
      <c r="AH307" s="89">
        <f t="shared" si="221"/>
        <v>0</v>
      </c>
      <c r="AI307" s="89">
        <f t="shared" si="221"/>
        <v>0</v>
      </c>
      <c r="AJ307" s="89">
        <f t="shared" si="221"/>
        <v>382184</v>
      </c>
      <c r="AK307" s="89">
        <f t="shared" si="221"/>
        <v>0</v>
      </c>
      <c r="AL307" s="89">
        <f>(-1)*(AL312-AL308)</f>
        <v>0</v>
      </c>
      <c r="AM307" s="163">
        <f>(-1)*(AM312-AM308)</f>
        <v>382184</v>
      </c>
    </row>
    <row r="308" spans="1:39" s="53" customFormat="1" ht="18.75" hidden="1">
      <c r="A308" s="59">
        <v>7</v>
      </c>
      <c r="B308" s="59"/>
      <c r="C308" s="60"/>
      <c r="D308" s="61" t="s">
        <v>513</v>
      </c>
      <c r="E308" s="62" t="s">
        <v>275</v>
      </c>
      <c r="F308" s="122">
        <f aca="true" t="shared" si="222" ref="F308:X310">F309</f>
        <v>0</v>
      </c>
      <c r="G308" s="122">
        <f t="shared" si="222"/>
        <v>1093888</v>
      </c>
      <c r="H308" s="123">
        <f t="shared" si="222"/>
        <v>1093888</v>
      </c>
      <c r="I308" s="123">
        <f t="shared" si="222"/>
        <v>0</v>
      </c>
      <c r="J308" s="123">
        <f t="shared" si="222"/>
        <v>0</v>
      </c>
      <c r="K308" s="123">
        <f t="shared" si="222"/>
        <v>1093888</v>
      </c>
      <c r="L308" s="123">
        <f t="shared" si="222"/>
        <v>0</v>
      </c>
      <c r="M308" s="123">
        <f t="shared" si="222"/>
        <v>0</v>
      </c>
      <c r="N308" s="123">
        <f t="shared" si="222"/>
        <v>1093888</v>
      </c>
      <c r="O308" s="128"/>
      <c r="P308" s="123">
        <f t="shared" si="222"/>
        <v>0</v>
      </c>
      <c r="Q308" s="123">
        <f t="shared" si="222"/>
        <v>0</v>
      </c>
      <c r="R308" s="123">
        <f t="shared" si="222"/>
        <v>1093888</v>
      </c>
      <c r="S308" s="123">
        <f t="shared" si="222"/>
        <v>0</v>
      </c>
      <c r="T308" s="123">
        <f t="shared" si="222"/>
        <v>0</v>
      </c>
      <c r="U308" s="90">
        <f t="shared" si="222"/>
        <v>1093888</v>
      </c>
      <c r="V308" s="90">
        <f t="shared" si="222"/>
        <v>0</v>
      </c>
      <c r="W308" s="90">
        <f aca="true" t="shared" si="223" ref="V308:W310">W309</f>
        <v>-296704</v>
      </c>
      <c r="X308" s="90">
        <f t="shared" si="222"/>
        <v>797184</v>
      </c>
      <c r="AI308" s="90">
        <f aca="true" t="shared" si="224" ref="AI308:AM310">AI309</f>
        <v>0</v>
      </c>
      <c r="AJ308" s="90">
        <f t="shared" si="224"/>
        <v>797184</v>
      </c>
      <c r="AK308" s="90">
        <f t="shared" si="224"/>
        <v>0</v>
      </c>
      <c r="AL308" s="90">
        <f t="shared" si="224"/>
        <v>0</v>
      </c>
      <c r="AM308" s="90">
        <f t="shared" si="224"/>
        <v>797184</v>
      </c>
    </row>
    <row r="309" spans="1:39" s="53" customFormat="1" ht="18.75" hidden="1">
      <c r="A309" s="34"/>
      <c r="B309" s="34">
        <v>1</v>
      </c>
      <c r="C309" s="35"/>
      <c r="D309" s="35" t="s">
        <v>513</v>
      </c>
      <c r="E309" s="37" t="s">
        <v>275</v>
      </c>
      <c r="F309" s="116">
        <f t="shared" si="222"/>
        <v>0</v>
      </c>
      <c r="G309" s="116">
        <f t="shared" si="222"/>
        <v>1093888</v>
      </c>
      <c r="H309" s="117">
        <f t="shared" si="222"/>
        <v>1093888</v>
      </c>
      <c r="I309" s="117">
        <f t="shared" si="222"/>
        <v>0</v>
      </c>
      <c r="J309" s="117">
        <f t="shared" si="222"/>
        <v>0</v>
      </c>
      <c r="K309" s="117">
        <f t="shared" si="222"/>
        <v>1093888</v>
      </c>
      <c r="L309" s="117">
        <f t="shared" si="222"/>
        <v>0</v>
      </c>
      <c r="M309" s="117">
        <f t="shared" si="222"/>
        <v>0</v>
      </c>
      <c r="N309" s="117">
        <f t="shared" si="222"/>
        <v>1093888</v>
      </c>
      <c r="O309" s="128"/>
      <c r="P309" s="117">
        <f t="shared" si="222"/>
        <v>0</v>
      </c>
      <c r="Q309" s="117">
        <f t="shared" si="222"/>
        <v>0</v>
      </c>
      <c r="R309" s="117">
        <f t="shared" si="222"/>
        <v>1093888</v>
      </c>
      <c r="S309" s="117">
        <f t="shared" si="222"/>
        <v>0</v>
      </c>
      <c r="T309" s="117">
        <f t="shared" si="222"/>
        <v>0</v>
      </c>
      <c r="U309" s="82">
        <f t="shared" si="222"/>
        <v>1093888</v>
      </c>
      <c r="V309" s="82">
        <f t="shared" si="223"/>
        <v>0</v>
      </c>
      <c r="W309" s="82">
        <f t="shared" si="223"/>
        <v>-296704</v>
      </c>
      <c r="X309" s="82">
        <f t="shared" si="222"/>
        <v>797184</v>
      </c>
      <c r="AI309" s="82">
        <f t="shared" si="224"/>
        <v>0</v>
      </c>
      <c r="AJ309" s="82">
        <f t="shared" si="224"/>
        <v>797184</v>
      </c>
      <c r="AK309" s="82">
        <f t="shared" si="224"/>
        <v>0</v>
      </c>
      <c r="AL309" s="82">
        <f t="shared" si="224"/>
        <v>0</v>
      </c>
      <c r="AM309" s="82">
        <f t="shared" si="224"/>
        <v>797184</v>
      </c>
    </row>
    <row r="310" spans="1:39" s="53" customFormat="1" ht="18.75" hidden="1">
      <c r="A310" s="64"/>
      <c r="B310" s="64"/>
      <c r="C310" s="65">
        <v>2</v>
      </c>
      <c r="D310" s="66" t="s">
        <v>552</v>
      </c>
      <c r="E310" s="66" t="s">
        <v>276</v>
      </c>
      <c r="F310" s="110">
        <f t="shared" si="222"/>
        <v>0</v>
      </c>
      <c r="G310" s="110">
        <f t="shared" si="222"/>
        <v>1093888</v>
      </c>
      <c r="H310" s="125">
        <f t="shared" si="222"/>
        <v>1093888</v>
      </c>
      <c r="I310" s="125">
        <f t="shared" si="222"/>
        <v>0</v>
      </c>
      <c r="J310" s="125">
        <f t="shared" si="222"/>
        <v>0</v>
      </c>
      <c r="K310" s="125">
        <f t="shared" si="222"/>
        <v>1093888</v>
      </c>
      <c r="L310" s="125">
        <f t="shared" si="222"/>
        <v>0</v>
      </c>
      <c r="M310" s="125">
        <f t="shared" si="222"/>
        <v>0</v>
      </c>
      <c r="N310" s="125">
        <f t="shared" si="222"/>
        <v>1093888</v>
      </c>
      <c r="O310" s="128"/>
      <c r="P310" s="125">
        <f t="shared" si="222"/>
        <v>0</v>
      </c>
      <c r="Q310" s="125">
        <f t="shared" si="222"/>
        <v>0</v>
      </c>
      <c r="R310" s="117">
        <f>N310+P310+Q310</f>
        <v>1093888</v>
      </c>
      <c r="S310" s="125">
        <f t="shared" si="222"/>
        <v>0</v>
      </c>
      <c r="T310" s="125">
        <f t="shared" si="222"/>
        <v>0</v>
      </c>
      <c r="U310" s="111">
        <f>U311</f>
        <v>1093888</v>
      </c>
      <c r="V310" s="111">
        <f t="shared" si="223"/>
        <v>0</v>
      </c>
      <c r="W310" s="111">
        <f t="shared" si="223"/>
        <v>-296704</v>
      </c>
      <c r="X310" s="111">
        <f t="shared" si="222"/>
        <v>797184</v>
      </c>
      <c r="AI310" s="111">
        <f t="shared" si="224"/>
        <v>0</v>
      </c>
      <c r="AJ310" s="111">
        <f t="shared" si="224"/>
        <v>797184</v>
      </c>
      <c r="AK310" s="111">
        <f t="shared" si="224"/>
        <v>0</v>
      </c>
      <c r="AL310" s="111">
        <f t="shared" si="224"/>
        <v>0</v>
      </c>
      <c r="AM310" s="156">
        <f aca="true" t="shared" si="225" ref="AM310:AM315">AJ310+AK310+AL310</f>
        <v>797184</v>
      </c>
    </row>
    <row r="311" spans="1:39" s="38" customFormat="1" ht="37.5" hidden="1">
      <c r="A311" s="64"/>
      <c r="B311" s="64"/>
      <c r="C311" s="65"/>
      <c r="D311" s="47" t="s">
        <v>153</v>
      </c>
      <c r="E311" s="47" t="s">
        <v>277</v>
      </c>
      <c r="F311" s="124"/>
      <c r="G311" s="110">
        <v>1093888</v>
      </c>
      <c r="H311" s="125">
        <f>F311+G311</f>
        <v>1093888</v>
      </c>
      <c r="I311" s="125"/>
      <c r="J311" s="125"/>
      <c r="K311" s="125">
        <f>H311+I311+J311</f>
        <v>1093888</v>
      </c>
      <c r="L311" s="125"/>
      <c r="M311" s="125"/>
      <c r="N311" s="125">
        <f>K311+L311+M311</f>
        <v>1093888</v>
      </c>
      <c r="O311" s="128"/>
      <c r="P311" s="125"/>
      <c r="Q311" s="125"/>
      <c r="R311" s="109">
        <f>N311+P311+Q311</f>
        <v>1093888</v>
      </c>
      <c r="S311" s="125"/>
      <c r="T311" s="125"/>
      <c r="U311" s="84">
        <f>Q311+R311</f>
        <v>1093888</v>
      </c>
      <c r="V311" s="92"/>
      <c r="W311" s="92">
        <f>-296704</f>
        <v>-296704</v>
      </c>
      <c r="X311" s="84">
        <f>U311+V311+W311</f>
        <v>797184</v>
      </c>
      <c r="AI311" s="92"/>
      <c r="AJ311" s="156">
        <f>X311+AI311</f>
        <v>797184</v>
      </c>
      <c r="AK311" s="92"/>
      <c r="AL311" s="92"/>
      <c r="AM311" s="156">
        <f t="shared" si="225"/>
        <v>797184</v>
      </c>
    </row>
    <row r="312" spans="1:39" s="38" customFormat="1" ht="18.75" hidden="1">
      <c r="A312" s="34">
        <v>16</v>
      </c>
      <c r="B312" s="34"/>
      <c r="C312" s="35"/>
      <c r="D312" s="35" t="s">
        <v>514</v>
      </c>
      <c r="E312" s="37" t="s">
        <v>31</v>
      </c>
      <c r="F312" s="116">
        <f aca="true" t="shared" si="226" ref="F312:M313">F313</f>
        <v>415000</v>
      </c>
      <c r="G312" s="116">
        <f t="shared" si="226"/>
        <v>0</v>
      </c>
      <c r="H312" s="117">
        <f t="shared" si="226"/>
        <v>415000</v>
      </c>
      <c r="I312" s="117">
        <f t="shared" si="226"/>
        <v>0</v>
      </c>
      <c r="J312" s="117">
        <f t="shared" si="226"/>
        <v>0</v>
      </c>
      <c r="K312" s="117">
        <f t="shared" si="226"/>
        <v>415000</v>
      </c>
      <c r="L312" s="117">
        <f>L313</f>
        <v>415000</v>
      </c>
      <c r="M312" s="117">
        <f t="shared" si="226"/>
        <v>-415000</v>
      </c>
      <c r="N312" s="117">
        <f>N313</f>
        <v>415000</v>
      </c>
      <c r="O312" s="128"/>
      <c r="P312" s="117">
        <f aca="true" t="shared" si="227" ref="P312:X312">P313</f>
        <v>0</v>
      </c>
      <c r="Q312" s="117">
        <f t="shared" si="227"/>
        <v>0</v>
      </c>
      <c r="R312" s="117">
        <f t="shared" si="227"/>
        <v>415000</v>
      </c>
      <c r="S312" s="117">
        <f t="shared" si="227"/>
        <v>0</v>
      </c>
      <c r="T312" s="117">
        <f t="shared" si="227"/>
        <v>0</v>
      </c>
      <c r="U312" s="82">
        <f t="shared" si="227"/>
        <v>415000</v>
      </c>
      <c r="V312" s="82">
        <f t="shared" si="227"/>
        <v>0</v>
      </c>
      <c r="W312" s="82">
        <f t="shared" si="227"/>
        <v>0</v>
      </c>
      <c r="X312" s="82">
        <f t="shared" si="227"/>
        <v>415000</v>
      </c>
      <c r="AI312" s="82">
        <f>AI313</f>
        <v>0</v>
      </c>
      <c r="AJ312" s="82">
        <f>AJ313</f>
        <v>415000</v>
      </c>
      <c r="AK312" s="82">
        <f>AK313</f>
        <v>0</v>
      </c>
      <c r="AL312" s="82">
        <f>AL313</f>
        <v>0</v>
      </c>
      <c r="AM312" s="82">
        <f>AM313</f>
        <v>415000</v>
      </c>
    </row>
    <row r="313" spans="1:39" s="38" customFormat="1" ht="18.75" hidden="1">
      <c r="A313" s="50"/>
      <c r="B313" s="50">
        <v>257</v>
      </c>
      <c r="C313" s="51"/>
      <c r="D313" s="51" t="s">
        <v>362</v>
      </c>
      <c r="E313" s="52" t="s">
        <v>539</v>
      </c>
      <c r="F313" s="116">
        <f t="shared" si="226"/>
        <v>415000</v>
      </c>
      <c r="G313" s="116">
        <f t="shared" si="226"/>
        <v>0</v>
      </c>
      <c r="H313" s="117">
        <f t="shared" si="226"/>
        <v>415000</v>
      </c>
      <c r="I313" s="117">
        <f t="shared" si="226"/>
        <v>0</v>
      </c>
      <c r="J313" s="117">
        <f t="shared" si="226"/>
        <v>0</v>
      </c>
      <c r="K313" s="117">
        <f t="shared" si="226"/>
        <v>415000</v>
      </c>
      <c r="L313" s="117">
        <f>L314+L315</f>
        <v>415000</v>
      </c>
      <c r="M313" s="117">
        <f t="shared" si="226"/>
        <v>-415000</v>
      </c>
      <c r="N313" s="117">
        <f>N314+N315</f>
        <v>415000</v>
      </c>
      <c r="O313" s="128"/>
      <c r="P313" s="117">
        <f>P314+P315</f>
        <v>0</v>
      </c>
      <c r="Q313" s="117">
        <f>Q314</f>
        <v>0</v>
      </c>
      <c r="R313" s="117">
        <f>R314+R315</f>
        <v>415000</v>
      </c>
      <c r="S313" s="117">
        <f>S314+S315</f>
        <v>0</v>
      </c>
      <c r="T313" s="117">
        <f>T314</f>
        <v>0</v>
      </c>
      <c r="U313" s="86">
        <f>U314+U315</f>
        <v>415000</v>
      </c>
      <c r="V313" s="86">
        <f>V314+V315</f>
        <v>0</v>
      </c>
      <c r="W313" s="86">
        <f>W314</f>
        <v>0</v>
      </c>
      <c r="X313" s="86">
        <f>X314+X315</f>
        <v>415000</v>
      </c>
      <c r="AI313" s="86">
        <f>AI314+AI315</f>
        <v>0</v>
      </c>
      <c r="AJ313" s="86">
        <f>AJ314+AJ315</f>
        <v>415000</v>
      </c>
      <c r="AK313" s="86">
        <f>AK314+AK315</f>
        <v>0</v>
      </c>
      <c r="AL313" s="86">
        <f>AL314+AL315</f>
        <v>0</v>
      </c>
      <c r="AM313" s="156">
        <f t="shared" si="225"/>
        <v>415000</v>
      </c>
    </row>
    <row r="314" spans="1:39" s="38" customFormat="1" ht="18.75" hidden="1">
      <c r="A314" s="44"/>
      <c r="B314" s="44"/>
      <c r="C314" s="45">
        <v>8</v>
      </c>
      <c r="D314" s="45" t="s">
        <v>515</v>
      </c>
      <c r="E314" s="47" t="s">
        <v>32</v>
      </c>
      <c r="F314" s="118">
        <v>415000</v>
      </c>
      <c r="G314" s="118"/>
      <c r="H314" s="109">
        <f>F314+G314</f>
        <v>415000</v>
      </c>
      <c r="I314" s="109"/>
      <c r="J314" s="109"/>
      <c r="K314" s="109">
        <f>H314+I314+J314</f>
        <v>415000</v>
      </c>
      <c r="L314" s="109"/>
      <c r="M314" s="109">
        <f>-415000</f>
        <v>-415000</v>
      </c>
      <c r="N314" s="109">
        <f>K314+L314+M314</f>
        <v>0</v>
      </c>
      <c r="O314" s="128"/>
      <c r="P314" s="109"/>
      <c r="Q314" s="109"/>
      <c r="R314" s="109">
        <f>N314+P314+Q314</f>
        <v>0</v>
      </c>
      <c r="S314" s="109"/>
      <c r="T314" s="109"/>
      <c r="U314" s="84">
        <f>Q314+R314</f>
        <v>0</v>
      </c>
      <c r="V314" s="85"/>
      <c r="W314" s="85"/>
      <c r="X314" s="84">
        <f>U314+V314</f>
        <v>0</v>
      </c>
      <c r="AI314" s="85"/>
      <c r="AJ314" s="156">
        <f>X314+AI314</f>
        <v>0</v>
      </c>
      <c r="AK314" s="85"/>
      <c r="AL314" s="85"/>
      <c r="AM314" s="156">
        <f t="shared" si="225"/>
        <v>0</v>
      </c>
    </row>
    <row r="315" spans="1:39" s="38" customFormat="1" ht="37.5" hidden="1">
      <c r="A315" s="44"/>
      <c r="B315" s="44"/>
      <c r="C315" s="45">
        <v>15</v>
      </c>
      <c r="D315" s="47" t="s">
        <v>168</v>
      </c>
      <c r="E315" s="47" t="s">
        <v>169</v>
      </c>
      <c r="F315" s="118">
        <v>415000</v>
      </c>
      <c r="G315" s="118"/>
      <c r="H315" s="109">
        <f>F315+G315</f>
        <v>415000</v>
      </c>
      <c r="I315" s="109"/>
      <c r="J315" s="109"/>
      <c r="K315" s="109">
        <v>0</v>
      </c>
      <c r="L315" s="109">
        <v>415000</v>
      </c>
      <c r="M315" s="109"/>
      <c r="N315" s="109">
        <f>K315+L315+M315</f>
        <v>415000</v>
      </c>
      <c r="O315" s="128"/>
      <c r="P315" s="109"/>
      <c r="Q315" s="109"/>
      <c r="R315" s="109">
        <f>N315+P315+Q315</f>
        <v>415000</v>
      </c>
      <c r="S315" s="109"/>
      <c r="T315" s="109"/>
      <c r="U315" s="84">
        <f>Q315+R315</f>
        <v>415000</v>
      </c>
      <c r="V315" s="85"/>
      <c r="W315" s="85"/>
      <c r="X315" s="84">
        <f>U315+V315</f>
        <v>415000</v>
      </c>
      <c r="AI315" s="85"/>
      <c r="AJ315" s="156">
        <f>X315+AI315</f>
        <v>415000</v>
      </c>
      <c r="AK315" s="85"/>
      <c r="AL315" s="85"/>
      <c r="AM315" s="156">
        <f t="shared" si="225"/>
        <v>415000</v>
      </c>
    </row>
    <row r="316" spans="5:39" s="38" customFormat="1" ht="18.75" hidden="1">
      <c r="E316" s="70"/>
      <c r="F316" s="126">
        <f aca="true" t="shared" si="228" ref="F316:N316">F306+F307</f>
        <v>27436098</v>
      </c>
      <c r="G316" s="126">
        <f t="shared" si="228"/>
        <v>-35770633.3</v>
      </c>
      <c r="H316" s="126">
        <f t="shared" si="228"/>
        <v>27785367</v>
      </c>
      <c r="I316" s="126">
        <f t="shared" si="228"/>
        <v>148850</v>
      </c>
      <c r="J316" s="126">
        <f t="shared" si="228"/>
        <v>0</v>
      </c>
      <c r="K316" s="126">
        <f t="shared" si="228"/>
        <v>26495762</v>
      </c>
      <c r="L316" s="126">
        <f t="shared" si="228"/>
        <v>-1228297.5</v>
      </c>
      <c r="M316" s="126">
        <f t="shared" si="228"/>
        <v>-160102.19999999995</v>
      </c>
      <c r="N316" s="126">
        <f t="shared" si="228"/>
        <v>25108640.299999982</v>
      </c>
      <c r="O316" s="128"/>
      <c r="P316" s="126">
        <f aca="true" t="shared" si="229" ref="P316:U316">P306+P307</f>
        <v>50000</v>
      </c>
      <c r="Q316" s="126">
        <f t="shared" si="229"/>
        <v>0</v>
      </c>
      <c r="R316" s="126">
        <f t="shared" si="229"/>
        <v>-1.4901161193847656E-08</v>
      </c>
      <c r="S316" s="126">
        <f t="shared" si="229"/>
        <v>0</v>
      </c>
      <c r="T316" s="126">
        <f t="shared" si="229"/>
        <v>90443770.69999999</v>
      </c>
      <c r="U316" s="95">
        <f t="shared" si="229"/>
        <v>-1.4901161193847656E-08</v>
      </c>
      <c r="V316" s="95"/>
      <c r="W316" s="95"/>
      <c r="X316" s="95">
        <f>X306+X307</f>
        <v>0</v>
      </c>
      <c r="AI316" s="95"/>
      <c r="AJ316" s="95">
        <f>AJ306+AJ307</f>
        <v>0</v>
      </c>
      <c r="AK316" s="95"/>
      <c r="AL316" s="95"/>
      <c r="AM316" s="95">
        <f>AM306+AM307</f>
        <v>0</v>
      </c>
    </row>
    <row r="317" spans="5:20" s="38" customFormat="1" ht="18.75">
      <c r="E317" s="70"/>
      <c r="F317" s="127"/>
      <c r="G317" s="128"/>
      <c r="H317" s="128"/>
      <c r="I317" s="128"/>
      <c r="J317" s="128"/>
      <c r="K317" s="128"/>
      <c r="L317" s="128"/>
      <c r="M317" s="128"/>
      <c r="N317" s="128"/>
      <c r="O317" s="128"/>
      <c r="P317" s="128"/>
      <c r="Q317" s="128"/>
      <c r="R317" s="128"/>
      <c r="S317" s="128"/>
      <c r="T317" s="128"/>
    </row>
    <row r="318" spans="5:20" s="38" customFormat="1" ht="18.75">
      <c r="E318" s="70"/>
      <c r="F318" s="127"/>
      <c r="G318" s="128"/>
      <c r="H318" s="128"/>
      <c r="I318" s="128"/>
      <c r="J318" s="128"/>
      <c r="K318" s="128"/>
      <c r="L318" s="128"/>
      <c r="M318" s="128"/>
      <c r="N318" s="128"/>
      <c r="O318" s="128"/>
      <c r="P318" s="128"/>
      <c r="Q318" s="128"/>
      <c r="R318" s="128"/>
      <c r="S318" s="128"/>
      <c r="T318" s="128"/>
    </row>
    <row r="319" spans="6:20" s="38" customFormat="1" ht="18.75">
      <c r="F319" s="128"/>
      <c r="G319" s="128"/>
      <c r="H319" s="128"/>
      <c r="I319" s="128"/>
      <c r="J319" s="128"/>
      <c r="K319" s="128"/>
      <c r="L319" s="128"/>
      <c r="M319" s="128"/>
      <c r="N319" s="128"/>
      <c r="O319" s="128"/>
      <c r="P319" s="128"/>
      <c r="Q319" s="128"/>
      <c r="R319" s="128"/>
      <c r="S319" s="128"/>
      <c r="T319" s="128"/>
    </row>
    <row r="320" spans="6:20" s="38" customFormat="1" ht="18.75">
      <c r="F320" s="128"/>
      <c r="G320" s="128"/>
      <c r="H320" s="128"/>
      <c r="I320" s="128"/>
      <c r="J320" s="128"/>
      <c r="K320" s="128"/>
      <c r="L320" s="128"/>
      <c r="M320" s="128"/>
      <c r="N320" s="128"/>
      <c r="O320" s="128"/>
      <c r="P320" s="128"/>
      <c r="Q320" s="128"/>
      <c r="R320" s="128"/>
      <c r="S320" s="128"/>
      <c r="T320" s="128"/>
    </row>
    <row r="321" spans="6:20" s="38" customFormat="1" ht="18.75">
      <c r="F321" s="128"/>
      <c r="G321" s="128"/>
      <c r="H321" s="128"/>
      <c r="I321" s="128"/>
      <c r="J321" s="128"/>
      <c r="K321" s="128"/>
      <c r="L321" s="128"/>
      <c r="M321" s="128"/>
      <c r="N321" s="128"/>
      <c r="O321" s="128"/>
      <c r="P321" s="128"/>
      <c r="Q321" s="128"/>
      <c r="R321" s="128"/>
      <c r="S321" s="128"/>
      <c r="T321" s="128"/>
    </row>
    <row r="322" spans="5:20" s="38" customFormat="1" ht="18.75">
      <c r="E322" s="70"/>
      <c r="F322" s="127"/>
      <c r="G322" s="128"/>
      <c r="H322" s="128"/>
      <c r="I322" s="128"/>
      <c r="J322" s="128"/>
      <c r="K322" s="128"/>
      <c r="L322" s="128"/>
      <c r="M322" s="128"/>
      <c r="N322" s="128"/>
      <c r="O322" s="128"/>
      <c r="P322" s="128"/>
      <c r="Q322" s="128"/>
      <c r="R322" s="128"/>
      <c r="S322" s="128"/>
      <c r="T322" s="128"/>
    </row>
    <row r="323" spans="5:20" s="38" customFormat="1" ht="18.75">
      <c r="E323" s="70"/>
      <c r="F323" s="127"/>
      <c r="G323" s="128"/>
      <c r="H323" s="128"/>
      <c r="I323" s="128"/>
      <c r="J323" s="128"/>
      <c r="K323" s="128"/>
      <c r="L323" s="128"/>
      <c r="M323" s="128"/>
      <c r="N323" s="128"/>
      <c r="O323" s="128"/>
      <c r="P323" s="128"/>
      <c r="Q323" s="128"/>
      <c r="R323" s="128"/>
      <c r="S323" s="128"/>
      <c r="T323" s="128"/>
    </row>
    <row r="324" spans="5:20" s="38" customFormat="1" ht="18.75">
      <c r="E324" s="70"/>
      <c r="F324" s="127"/>
      <c r="G324" s="128"/>
      <c r="H324" s="128"/>
      <c r="I324" s="128"/>
      <c r="J324" s="128"/>
      <c r="K324" s="128"/>
      <c r="L324" s="128"/>
      <c r="M324" s="128"/>
      <c r="N324" s="128"/>
      <c r="O324" s="128"/>
      <c r="P324" s="128"/>
      <c r="Q324" s="128"/>
      <c r="R324" s="128"/>
      <c r="S324" s="128"/>
      <c r="T324" s="128"/>
    </row>
    <row r="325" spans="5:20" s="38" customFormat="1" ht="18.75">
      <c r="E325" s="70"/>
      <c r="F325" s="127"/>
      <c r="G325" s="128"/>
      <c r="H325" s="128"/>
      <c r="I325" s="128"/>
      <c r="J325" s="128"/>
      <c r="K325" s="128"/>
      <c r="L325" s="128"/>
      <c r="M325" s="128"/>
      <c r="N325" s="128"/>
      <c r="O325" s="128"/>
      <c r="P325" s="128"/>
      <c r="Q325" s="128"/>
      <c r="R325" s="128"/>
      <c r="S325" s="128"/>
      <c r="T325" s="128"/>
    </row>
    <row r="326" spans="6:20" s="38" customFormat="1" ht="18.75">
      <c r="F326" s="128"/>
      <c r="G326" s="128"/>
      <c r="H326" s="128"/>
      <c r="I326" s="128"/>
      <c r="J326" s="128"/>
      <c r="K326" s="128"/>
      <c r="L326" s="128"/>
      <c r="M326" s="128"/>
      <c r="N326" s="128"/>
      <c r="O326" s="128"/>
      <c r="P326" s="128"/>
      <c r="Q326" s="128"/>
      <c r="R326" s="128"/>
      <c r="S326" s="128"/>
      <c r="T326" s="128"/>
    </row>
    <row r="327" spans="5:20" s="38" customFormat="1" ht="18.75">
      <c r="E327" s="70"/>
      <c r="F327" s="127"/>
      <c r="G327" s="128"/>
      <c r="H327" s="128"/>
      <c r="I327" s="128"/>
      <c r="J327" s="128"/>
      <c r="K327" s="128"/>
      <c r="L327" s="128"/>
      <c r="M327" s="128"/>
      <c r="N327" s="128"/>
      <c r="O327" s="128"/>
      <c r="P327" s="128"/>
      <c r="Q327" s="128"/>
      <c r="R327" s="128"/>
      <c r="S327" s="128"/>
      <c r="T327" s="128"/>
    </row>
    <row r="328" spans="5:20" s="38" customFormat="1" ht="18.75">
      <c r="E328" s="70"/>
      <c r="F328" s="127"/>
      <c r="G328" s="128"/>
      <c r="H328" s="128"/>
      <c r="I328" s="128"/>
      <c r="J328" s="128"/>
      <c r="K328" s="128"/>
      <c r="L328" s="128"/>
      <c r="M328" s="128"/>
      <c r="N328" s="128"/>
      <c r="O328" s="128"/>
      <c r="P328" s="128"/>
      <c r="Q328" s="128"/>
      <c r="R328" s="128"/>
      <c r="S328" s="128"/>
      <c r="T328" s="128"/>
    </row>
    <row r="329" spans="5:20" s="38" customFormat="1" ht="18.75">
      <c r="E329" s="70"/>
      <c r="F329" s="127"/>
      <c r="G329" s="128"/>
      <c r="H329" s="128"/>
      <c r="I329" s="128"/>
      <c r="J329" s="128"/>
      <c r="K329" s="128"/>
      <c r="L329" s="128"/>
      <c r="M329" s="128"/>
      <c r="N329" s="128"/>
      <c r="O329" s="128"/>
      <c r="P329" s="128"/>
      <c r="Q329" s="128"/>
      <c r="R329" s="128"/>
      <c r="S329" s="128"/>
      <c r="T329" s="128"/>
    </row>
    <row r="330" spans="6:20" s="38" customFormat="1" ht="18.75">
      <c r="F330" s="128"/>
      <c r="G330" s="128"/>
      <c r="H330" s="128"/>
      <c r="I330" s="128"/>
      <c r="J330" s="128"/>
      <c r="K330" s="128"/>
      <c r="L330" s="128"/>
      <c r="M330" s="128"/>
      <c r="N330" s="128"/>
      <c r="O330" s="128"/>
      <c r="P330" s="128"/>
      <c r="Q330" s="128"/>
      <c r="R330" s="128"/>
      <c r="S330" s="128"/>
      <c r="T330" s="128"/>
    </row>
    <row r="331" spans="6:20" s="38" customFormat="1" ht="18.75">
      <c r="F331" s="128"/>
      <c r="G331" s="128"/>
      <c r="H331" s="128"/>
      <c r="I331" s="128"/>
      <c r="J331" s="128"/>
      <c r="K331" s="128"/>
      <c r="L331" s="128"/>
      <c r="M331" s="128"/>
      <c r="N331" s="128"/>
      <c r="O331" s="128"/>
      <c r="P331" s="128"/>
      <c r="Q331" s="128"/>
      <c r="R331" s="128"/>
      <c r="S331" s="128"/>
      <c r="T331" s="128"/>
    </row>
    <row r="332" spans="5:20" s="38" customFormat="1" ht="18.75">
      <c r="E332" s="70"/>
      <c r="F332" s="127"/>
      <c r="G332" s="128"/>
      <c r="H332" s="128"/>
      <c r="I332" s="128"/>
      <c r="J332" s="128"/>
      <c r="K332" s="128"/>
      <c r="L332" s="128"/>
      <c r="M332" s="128"/>
      <c r="N332" s="128"/>
      <c r="O332" s="128"/>
      <c r="P332" s="128"/>
      <c r="Q332" s="128"/>
      <c r="R332" s="128"/>
      <c r="S332" s="128"/>
      <c r="T332" s="128"/>
    </row>
    <row r="333" spans="5:20" s="38" customFormat="1" ht="18.75">
      <c r="E333" s="70"/>
      <c r="F333" s="127"/>
      <c r="G333" s="128"/>
      <c r="H333" s="128"/>
      <c r="I333" s="128"/>
      <c r="J333" s="128"/>
      <c r="K333" s="128"/>
      <c r="L333" s="128"/>
      <c r="M333" s="128"/>
      <c r="N333" s="128"/>
      <c r="O333" s="128"/>
      <c r="P333" s="128"/>
      <c r="Q333" s="128"/>
      <c r="R333" s="128"/>
      <c r="S333" s="128"/>
      <c r="T333" s="128"/>
    </row>
    <row r="334" spans="5:20" s="38" customFormat="1" ht="18.75">
      <c r="E334" s="70"/>
      <c r="F334" s="127"/>
      <c r="G334" s="128"/>
      <c r="H334" s="128"/>
      <c r="I334" s="128"/>
      <c r="J334" s="128"/>
      <c r="K334" s="128"/>
      <c r="L334" s="128"/>
      <c r="M334" s="128"/>
      <c r="N334" s="128"/>
      <c r="O334" s="128"/>
      <c r="P334" s="128"/>
      <c r="Q334" s="128"/>
      <c r="R334" s="128"/>
      <c r="S334" s="128"/>
      <c r="T334" s="128"/>
    </row>
    <row r="335" spans="5:20" s="38" customFormat="1" ht="18.75">
      <c r="E335" s="70"/>
      <c r="F335" s="127"/>
      <c r="G335" s="128"/>
      <c r="H335" s="128"/>
      <c r="I335" s="128"/>
      <c r="J335" s="128"/>
      <c r="K335" s="128"/>
      <c r="L335" s="128"/>
      <c r="M335" s="128"/>
      <c r="N335" s="128"/>
      <c r="O335" s="128"/>
      <c r="P335" s="128"/>
      <c r="Q335" s="128"/>
      <c r="R335" s="128"/>
      <c r="S335" s="128"/>
      <c r="T335" s="128"/>
    </row>
    <row r="336" spans="5:20" s="38" customFormat="1" ht="18.75">
      <c r="E336" s="70"/>
      <c r="F336" s="127"/>
      <c r="G336" s="128"/>
      <c r="H336" s="128"/>
      <c r="I336" s="128"/>
      <c r="J336" s="128"/>
      <c r="K336" s="128"/>
      <c r="L336" s="128"/>
      <c r="M336" s="128"/>
      <c r="N336" s="128"/>
      <c r="O336" s="128"/>
      <c r="P336" s="128"/>
      <c r="Q336" s="128"/>
      <c r="R336" s="128"/>
      <c r="S336" s="128"/>
      <c r="T336" s="128"/>
    </row>
    <row r="337" spans="5:20" s="38" customFormat="1" ht="18.75">
      <c r="E337" s="70"/>
      <c r="F337" s="127"/>
      <c r="G337" s="128"/>
      <c r="H337" s="128"/>
      <c r="I337" s="128"/>
      <c r="J337" s="128"/>
      <c r="K337" s="128"/>
      <c r="L337" s="128"/>
      <c r="M337" s="128"/>
      <c r="N337" s="128"/>
      <c r="O337" s="128"/>
      <c r="P337" s="128"/>
      <c r="Q337" s="128"/>
      <c r="R337" s="128"/>
      <c r="S337" s="128"/>
      <c r="T337" s="128"/>
    </row>
    <row r="338" spans="5:20" s="38" customFormat="1" ht="18.75">
      <c r="E338" s="70"/>
      <c r="F338" s="127"/>
      <c r="G338" s="128"/>
      <c r="H338" s="128"/>
      <c r="I338" s="128"/>
      <c r="J338" s="128"/>
      <c r="K338" s="128"/>
      <c r="L338" s="128"/>
      <c r="M338" s="128"/>
      <c r="N338" s="128"/>
      <c r="O338" s="128"/>
      <c r="P338" s="128"/>
      <c r="Q338" s="128"/>
      <c r="R338" s="128"/>
      <c r="S338" s="128"/>
      <c r="T338" s="128"/>
    </row>
    <row r="339" spans="5:20" s="38" customFormat="1" ht="18.75">
      <c r="E339" s="70"/>
      <c r="F339" s="127"/>
      <c r="G339" s="128"/>
      <c r="H339" s="128"/>
      <c r="I339" s="128"/>
      <c r="J339" s="128"/>
      <c r="K339" s="128"/>
      <c r="L339" s="128"/>
      <c r="M339" s="128"/>
      <c r="N339" s="128"/>
      <c r="O339" s="128"/>
      <c r="P339" s="128"/>
      <c r="Q339" s="128"/>
      <c r="R339" s="128"/>
      <c r="S339" s="128"/>
      <c r="T339" s="128"/>
    </row>
    <row r="340" spans="5:20" s="38" customFormat="1" ht="18.75">
      <c r="E340" s="70"/>
      <c r="F340" s="127"/>
      <c r="G340" s="128"/>
      <c r="H340" s="128"/>
      <c r="I340" s="128"/>
      <c r="J340" s="128"/>
      <c r="K340" s="128"/>
      <c r="L340" s="128"/>
      <c r="M340" s="128"/>
      <c r="N340" s="128"/>
      <c r="O340" s="128"/>
      <c r="P340" s="128"/>
      <c r="Q340" s="128"/>
      <c r="R340" s="128"/>
      <c r="S340" s="128"/>
      <c r="T340" s="128"/>
    </row>
    <row r="341" spans="5:20" s="38" customFormat="1" ht="18.75">
      <c r="E341" s="70"/>
      <c r="F341" s="127"/>
      <c r="G341" s="128"/>
      <c r="H341" s="128"/>
      <c r="I341" s="128"/>
      <c r="J341" s="128"/>
      <c r="K341" s="128"/>
      <c r="L341" s="128"/>
      <c r="M341" s="128"/>
      <c r="N341" s="128"/>
      <c r="O341" s="128"/>
      <c r="P341" s="128"/>
      <c r="Q341" s="128"/>
      <c r="R341" s="128"/>
      <c r="S341" s="128"/>
      <c r="T341" s="128"/>
    </row>
    <row r="342" spans="5:20" s="38" customFormat="1" ht="18.75">
      <c r="E342" s="70"/>
      <c r="F342" s="127"/>
      <c r="G342" s="128"/>
      <c r="H342" s="128"/>
      <c r="I342" s="128"/>
      <c r="J342" s="128"/>
      <c r="K342" s="128"/>
      <c r="L342" s="128"/>
      <c r="M342" s="128"/>
      <c r="N342" s="128"/>
      <c r="O342" s="128"/>
      <c r="P342" s="128"/>
      <c r="Q342" s="128"/>
      <c r="R342" s="128"/>
      <c r="S342" s="128"/>
      <c r="T342" s="128"/>
    </row>
    <row r="343" spans="5:20" s="38" customFormat="1" ht="18.75">
      <c r="E343" s="70"/>
      <c r="F343" s="127"/>
      <c r="G343" s="128"/>
      <c r="H343" s="128"/>
      <c r="I343" s="128"/>
      <c r="J343" s="128"/>
      <c r="K343" s="128"/>
      <c r="L343" s="128"/>
      <c r="M343" s="128"/>
      <c r="N343" s="128"/>
      <c r="O343" s="128"/>
      <c r="P343" s="128"/>
      <c r="Q343" s="128"/>
      <c r="R343" s="128"/>
      <c r="S343" s="128"/>
      <c r="T343" s="128"/>
    </row>
    <row r="344" spans="5:20" s="38" customFormat="1" ht="18.75">
      <c r="E344" s="70"/>
      <c r="F344" s="127"/>
      <c r="G344" s="128"/>
      <c r="H344" s="128"/>
      <c r="I344" s="128"/>
      <c r="J344" s="128"/>
      <c r="K344" s="128"/>
      <c r="L344" s="128"/>
      <c r="M344" s="128"/>
      <c r="N344" s="128"/>
      <c r="O344" s="128"/>
      <c r="P344" s="128"/>
      <c r="Q344" s="128"/>
      <c r="R344" s="128"/>
      <c r="S344" s="128"/>
      <c r="T344" s="128"/>
    </row>
    <row r="345" spans="5:20" s="38" customFormat="1" ht="18.75">
      <c r="E345" s="70"/>
      <c r="F345" s="127"/>
      <c r="G345" s="128"/>
      <c r="H345" s="128"/>
      <c r="I345" s="128"/>
      <c r="J345" s="128"/>
      <c r="K345" s="128"/>
      <c r="L345" s="128"/>
      <c r="M345" s="128"/>
      <c r="N345" s="128"/>
      <c r="O345" s="128"/>
      <c r="P345" s="128"/>
      <c r="Q345" s="128"/>
      <c r="R345" s="128"/>
      <c r="S345" s="128"/>
      <c r="T345" s="128"/>
    </row>
    <row r="346" spans="5:20" s="38" customFormat="1" ht="18.75">
      <c r="E346" s="70"/>
      <c r="F346" s="127"/>
      <c r="G346" s="128"/>
      <c r="H346" s="128"/>
      <c r="I346" s="128"/>
      <c r="J346" s="128"/>
      <c r="K346" s="128"/>
      <c r="L346" s="128"/>
      <c r="M346" s="128"/>
      <c r="N346" s="128"/>
      <c r="O346" s="128"/>
      <c r="P346" s="128"/>
      <c r="Q346" s="128"/>
      <c r="R346" s="128"/>
      <c r="S346" s="128"/>
      <c r="T346" s="128"/>
    </row>
    <row r="347" spans="5:20" s="38" customFormat="1" ht="18.75">
      <c r="E347" s="70"/>
      <c r="F347" s="127"/>
      <c r="G347" s="128"/>
      <c r="H347" s="128"/>
      <c r="I347" s="128"/>
      <c r="J347" s="128"/>
      <c r="K347" s="128"/>
      <c r="L347" s="128"/>
      <c r="M347" s="128"/>
      <c r="N347" s="128"/>
      <c r="O347" s="128"/>
      <c r="P347" s="128"/>
      <c r="Q347" s="128"/>
      <c r="R347" s="128"/>
      <c r="S347" s="128"/>
      <c r="T347" s="128"/>
    </row>
    <row r="348" spans="5:20" s="38" customFormat="1" ht="18.75">
      <c r="E348" s="70"/>
      <c r="F348" s="127"/>
      <c r="G348" s="128"/>
      <c r="H348" s="128"/>
      <c r="I348" s="128"/>
      <c r="J348" s="128"/>
      <c r="K348" s="128"/>
      <c r="L348" s="128"/>
      <c r="M348" s="128"/>
      <c r="N348" s="128"/>
      <c r="O348" s="128"/>
      <c r="P348" s="128"/>
      <c r="Q348" s="128"/>
      <c r="R348" s="128"/>
      <c r="S348" s="128"/>
      <c r="T348" s="128"/>
    </row>
    <row r="349" spans="5:20" s="38" customFormat="1" ht="18.75">
      <c r="E349" s="70"/>
      <c r="F349" s="127"/>
      <c r="G349" s="128"/>
      <c r="H349" s="128"/>
      <c r="I349" s="128"/>
      <c r="J349" s="128"/>
      <c r="K349" s="128"/>
      <c r="L349" s="128"/>
      <c r="M349" s="128"/>
      <c r="N349" s="128"/>
      <c r="O349" s="128"/>
      <c r="P349" s="128"/>
      <c r="Q349" s="128"/>
      <c r="R349" s="128"/>
      <c r="S349" s="128"/>
      <c r="T349" s="128"/>
    </row>
    <row r="350" spans="5:20" s="38" customFormat="1" ht="18.75">
      <c r="E350" s="70"/>
      <c r="F350" s="127"/>
      <c r="G350" s="128"/>
      <c r="H350" s="128"/>
      <c r="I350" s="128"/>
      <c r="J350" s="128"/>
      <c r="K350" s="128"/>
      <c r="L350" s="128"/>
      <c r="M350" s="128"/>
      <c r="N350" s="128"/>
      <c r="O350" s="128"/>
      <c r="P350" s="128"/>
      <c r="Q350" s="128"/>
      <c r="R350" s="128"/>
      <c r="S350" s="128"/>
      <c r="T350" s="128"/>
    </row>
    <row r="351" spans="5:20" s="38" customFormat="1" ht="18.75">
      <c r="E351" s="70"/>
      <c r="F351" s="127"/>
      <c r="G351" s="128"/>
      <c r="H351" s="128"/>
      <c r="I351" s="128"/>
      <c r="J351" s="128"/>
      <c r="K351" s="128"/>
      <c r="L351" s="128"/>
      <c r="M351" s="128"/>
      <c r="N351" s="128"/>
      <c r="O351" s="128"/>
      <c r="P351" s="128"/>
      <c r="Q351" s="128"/>
      <c r="R351" s="128"/>
      <c r="S351" s="128"/>
      <c r="T351" s="128"/>
    </row>
    <row r="352" spans="5:20" s="38" customFormat="1" ht="18.75">
      <c r="E352" s="70"/>
      <c r="F352" s="127"/>
      <c r="G352" s="128"/>
      <c r="H352" s="128"/>
      <c r="I352" s="128"/>
      <c r="J352" s="128"/>
      <c r="K352" s="128"/>
      <c r="L352" s="128"/>
      <c r="M352" s="128"/>
      <c r="N352" s="128"/>
      <c r="O352" s="128"/>
      <c r="P352" s="128"/>
      <c r="Q352" s="128"/>
      <c r="R352" s="128"/>
      <c r="S352" s="128"/>
      <c r="T352" s="128"/>
    </row>
  </sheetData>
  <sheetProtection/>
  <autoFilter ref="A2:F314"/>
  <printOptions/>
  <pageMargins left="1.0236220472440944" right="0.5511811023622047" top="0.984251968503937" bottom="0.984251968503937" header="0.15748031496062992" footer="0.31496062992125984"/>
  <pageSetup blackAndWhite="1" fitToHeight="0" horizontalDpi="600" verticalDpi="600" orientation="portrait" paperSize="9" scale="70" r:id="rId1"/>
  <headerFooter alignWithMargins="0">
    <oddHeader>&amp;C&amp;P
</oddHeader>
  </headerFooter>
  <rowBreaks count="3" manualBreakCount="3">
    <brk id="128" max="255" man="1"/>
    <brk id="198" max="38" man="1"/>
    <brk id="224"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Рашат</cp:lastModifiedBy>
  <cp:lastPrinted>2010-10-07T11:38:10Z</cp:lastPrinted>
  <dcterms:created xsi:type="dcterms:W3CDTF">2009-10-02T23:13:45Z</dcterms:created>
  <dcterms:modified xsi:type="dcterms:W3CDTF">2010-10-11T17:22:56Z</dcterms:modified>
  <cp:category/>
  <cp:version/>
  <cp:contentType/>
  <cp:contentStatus/>
</cp:coreProperties>
</file>