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activeTab="0"/>
  </bookViews>
  <sheets>
    <sheet name="2011 Доходы (2)" sheetId="1" r:id="rId1"/>
    <sheet name="2011_Расходы (3)" sheetId="2" r:id="rId2"/>
  </sheets>
  <definedNames>
    <definedName name="Z_68D739FF_5646_4E03_A0B8_15BC6037AE1C_.wvu.PrintArea" localSheetId="0" hidden="1">'2011 Доходы (2)'!$A$4:$G$58</definedName>
    <definedName name="Z_6C371A7D_151A_4AF4_8E89_7A519B7DD8C5_.wvu.PrintArea" localSheetId="0" hidden="1">'2011 Доходы (2)'!$A$4:$G$58</definedName>
    <definedName name="Z_A5CE8DB9_E70F_4973_852C_11A60D40E044_.wvu.PrintArea" localSheetId="0" hidden="1">'2011 Доходы (2)'!$A$4:$G$58</definedName>
    <definedName name="Z_A6987E0A_C97C_4578_BB67_DE54C31E7376_.wvu.Rows" localSheetId="0" hidden="1">'2011 Доходы (2)'!#REF!</definedName>
    <definedName name="Z_B08AB559_566D_4D9E_9417_9591DBFD1C24_.wvu.PrintArea" localSheetId="0" hidden="1">'2011 Доходы (2)'!$A$4:$G$58</definedName>
    <definedName name="Z_D78BB152_F5E5_490E_82A7_195113739BF3_.wvu.PrintArea" localSheetId="0" hidden="1">'2011 Доходы (2)'!$A$4:$G$58</definedName>
    <definedName name="_xlnm.Print_Titles" localSheetId="0">'2011 Доходы (2)'!$7:$7</definedName>
    <definedName name="_xlnm.Print_Titles" localSheetId="1">'2011_Расходы (3)'!$2:$2</definedName>
    <definedName name="_xlnm.Print_Area" localSheetId="0">'2011 Доходы (2)'!$A$1:$R$68</definedName>
    <definedName name="_xlnm.Print_Area" localSheetId="1">'2011_Расходы (3)'!$A$1:$R$293</definedName>
  </definedNames>
  <calcPr fullCalcOnLoad="1" refMode="R1C1"/>
</workbook>
</file>

<file path=xl/comments1.xml><?xml version="1.0" encoding="utf-8"?>
<comments xmlns="http://schemas.openxmlformats.org/spreadsheetml/2006/main">
  <authors>
    <author>Your User Name</author>
  </authors>
  <commentList>
    <comment ref="G44" authorId="0">
      <text>
        <r>
          <rPr>
            <b/>
            <sz val="8"/>
            <rFont val="Tahoma"/>
            <family val="2"/>
          </rPr>
          <t>отрегулир.  На 97 код 201706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<sst xmlns="http://schemas.openxmlformats.org/spreadsheetml/2006/main" count="807" uniqueCount="598">
  <si>
    <t>Субвенции</t>
  </si>
  <si>
    <t>Субвенциялар</t>
  </si>
  <si>
    <t>03</t>
  </si>
  <si>
    <t>Целевые трансферты на развитие</t>
  </si>
  <si>
    <t>Нысаналы даму трансферттері</t>
  </si>
  <si>
    <t>02</t>
  </si>
  <si>
    <t>Целевые текущие трансферты</t>
  </si>
  <si>
    <t>Ағымдағы нысаналы трансферттер</t>
  </si>
  <si>
    <t>01</t>
  </si>
  <si>
    <t>Трансферты из республиканского бюджета</t>
  </si>
  <si>
    <t>Республикалық бюджеттен түсетiн трансферттер</t>
  </si>
  <si>
    <t>1</t>
  </si>
  <si>
    <t>Трансферты из вышестоящих органов государственного управления</t>
  </si>
  <si>
    <t>Мемлекеттiк басқарудың жоғары тұрған органдарынан түсетiн трансферттер</t>
  </si>
  <si>
    <t>Поступления трансфертов из районных (городских) бюджетов на компенсацию потерь областного бюджета</t>
  </si>
  <si>
    <t>04</t>
  </si>
  <si>
    <t>Возврат, использованных не по целевому назначению целевых трансфертов</t>
  </si>
  <si>
    <t>Нысаналы мақсатқа сай пайдаланылмаған нысаналы трансферттерді қайтару</t>
  </si>
  <si>
    <t>Возврат целевых трансфертов</t>
  </si>
  <si>
    <t>Нысаналы пайдаланылмаған (толық пайдаланылмаған) трансферттерді қайтару</t>
  </si>
  <si>
    <t>Бюджетные изъятия</t>
  </si>
  <si>
    <t>Бюджеттік алып қоюлар</t>
  </si>
  <si>
    <t>Трансферты из районных (городских) бюджетов</t>
  </si>
  <si>
    <t>Аудандық (қалалық) бюджеттерден трансферттер</t>
  </si>
  <si>
    <t>2</t>
  </si>
  <si>
    <t>Трансферты из нижестоящих органов государственного управления</t>
  </si>
  <si>
    <t>Төмен тұрған мемлекеттiк басқару органдарынан алынатын трансферттер</t>
  </si>
  <si>
    <t>Поступления трансфертов</t>
  </si>
  <si>
    <t>Трансферттердің түсімдері</t>
  </si>
  <si>
    <t>4</t>
  </si>
  <si>
    <t>Поступления от продажи имущества, закрепленного за государственными учреждениями, финансируемыми из местного бюджета</t>
  </si>
  <si>
    <t>Жергілікті бюджеттен қаржыландырылатын мемлекеттік мекемелерге бекітілген мүлікті сатудан  түсетін түсімдер</t>
  </si>
  <si>
    <t>Поступления от продажи имущества, закрепленного за государственными учреждениями, финансируемыми из республиканского бюджета</t>
  </si>
  <si>
    <t>Республикалық бюджеттен қаржыландырылатын мемлекеттік мекемелерге бекітілген мүлікті сатудан  түсетін түсімдер</t>
  </si>
  <si>
    <t>Продажа государственного имущества, закрепленного за государственными учреждениями</t>
  </si>
  <si>
    <t>Мемлекеттік мекемелерге бекітілген  мемлекеттік мүлікті сату</t>
  </si>
  <si>
    <t>Мемлекеттік мекемелерге бекітілген мемлекеттік мүлікті сату</t>
  </si>
  <si>
    <t>Поступления от продажи основного капитала</t>
  </si>
  <si>
    <t>Негізгі капиталды сатудан түсетін түсімдер</t>
  </si>
  <si>
    <t>3</t>
  </si>
  <si>
    <t>Другие неналоговые поступления в местный бюджет</t>
  </si>
  <si>
    <t>Жергiлiктiк бюджетке түсетiн салықтық емес басқа да түсiмдер</t>
  </si>
  <si>
    <t>9</t>
  </si>
  <si>
    <t>Возврат неиспользованных средств, ранее полученных из местного бюджета</t>
  </si>
  <si>
    <t>Бұрын жергілікті бюджеттен алынған, пайдаланылмаған қаражаттардың қайтарылуы</t>
  </si>
  <si>
    <t>7</t>
  </si>
  <si>
    <t>Поступления дебиторской,депонентской задолженности государственных учреждений, финансируемых  из местного бюджета</t>
  </si>
  <si>
    <t>Жергілікті бюджеттен қаржыландырылатын мемлекеттік мекемелердің дебиторлық, депоненттік берешегінің түсімі</t>
  </si>
  <si>
    <t>5</t>
  </si>
  <si>
    <t xml:space="preserve">Прочие неналоговые поступления </t>
  </si>
  <si>
    <t>Басқа да салықтық емес түсiмдер</t>
  </si>
  <si>
    <t>06</t>
  </si>
  <si>
    <t>Прочие штрафы, пени, санкции, взыскания, налагаемые государственными учреждениями, финансируемыми из местного бюджета</t>
  </si>
  <si>
    <t>Жергiлiктi бюджеттен қаржыландырылатын мемлекеттiк мекемелермен алынатын өзге де айыппұлдар, өсiмпұлдар, санкциялар</t>
  </si>
  <si>
    <t>14</t>
  </si>
  <si>
    <t>Поступления удержаний из заработной платы осужденных к исправительным работам</t>
  </si>
  <si>
    <t>Түзету жұмыстарына сотталғандардың еңбекақысынан ұсталатын түсімдер</t>
  </si>
  <si>
    <t>12</t>
  </si>
  <si>
    <t>Административные штрафы, пени, санкции, взыскания, налагаемые государственными учреждениями, финансируемыми из местного бюджета</t>
  </si>
  <si>
    <t>Жергiлiктi бюджеттен қаржыландыратын мемлекеттiк мекемелер салатын әкiмшiлiк айыппұлдар, өсiмпұлдар, санкциялар, өндiрiп алулар</t>
  </si>
  <si>
    <t>05</t>
  </si>
  <si>
    <t xml:space="preserve">Штрафы, пени, санкции, взыскания, налагаемые государственными учреждениями, финансируемыми из государственного бюджета, а также содержащимися и финансируемыми из бюджета (сметы расходов) Национального Банка Республики Казахстан, за исключением поступлений от организаций нефтяного
сектора 
</t>
  </si>
  <si>
    <t>Мұнай секторы ұйымдарынан түсетiн түсiмдердi қоспағанда, мемлекеттiк бюджеттен қаржыландырылатын, сондай-ақ Қазақстан Республикасы Ұлттық Банкiнiң бюджетiнен (шығыстар сметасынан) ұсталатын және қаржыландырылатын мемлекеттiк мекемелер салатын айыппұлдар, өсiмпұлдар, санкциялар, өндiрiп алулар</t>
  </si>
  <si>
    <t>Штрафы, пени, санкции, взыскания, налагаемые государственными учреждениями, финансируемыми из государственного бюджета, а также содержащимися и финансируемыми из бюджета (сметы расходов) Национального Банка Республики Казахстан</t>
  </si>
  <si>
    <t>Мемлекеттік бюджеттен қаржыландырылатын, сондай-ақ Қазақстан Республикасы ұлттық Банкінің бюджетінен (шығыстар сметасынан) ұсталатын және қаржыландырылатын мемлекеттік мекемелер салатын айыппұлдар, өсімпұлдар, санкциялар, өндіріп алулар</t>
  </si>
  <si>
    <t>Поступления денег от проведения государственных закупок, организуемых государственными учреждениями, финансируемыми из местного бюджета</t>
  </si>
  <si>
    <t>Жергілікті бюджеттен қаржыландырылатын мемлекеттік мекемелер ұйымдастыратын мемлекеттік сатып алуды өткізуден түсетін ақшаның түсімі</t>
  </si>
  <si>
    <t>Поступления денег от проведения государственных закупок, организуемых государственными учреждениями, финансируемыми из государственного бюджета</t>
  </si>
  <si>
    <t>Мемлекеттік бюджеттен қаржыландырылатын  мемлекеттік мекемелер ұйымдастыратын мемлекеттік сатып алуды өткізуден түсетін ақша түсімдері</t>
  </si>
  <si>
    <t>Поступления от реализации услуг, предоставляемых государственными  учреждениями, финансируемыми из местного бюджета</t>
  </si>
  <si>
    <t>Жергілікті бюджеттен қаржыландырылатын мемлекеттік мекемелер көрсететін қызметтерді сатудан түсетін түсімдер</t>
  </si>
  <si>
    <t>Поступления от реализации товаров (работ, услуг) государственными учреждениями, финансируемыми из государственного бюджета</t>
  </si>
  <si>
    <t>Мемлекеттік бюджеттен қаржыландырылатын  мемлекеттік мекемелердің тауарларды (жұмыстарды, қызметтерді) өткізуінен түсетін түсімдер</t>
  </si>
  <si>
    <t>Вознаграждения по бюджетным кредитам, выданным из местного бюджета физическим лицам</t>
  </si>
  <si>
    <t>Жеке тұлғаларға жергiлiктi бюджеттен берiлген бюджеттiк кредиттер бойынша сыйақылар</t>
  </si>
  <si>
    <t>13</t>
  </si>
  <si>
    <t>Вознаграждения по бюджетным кредитам, выданным из местного бюджета до 2005 года юридическим лицам</t>
  </si>
  <si>
    <t>Заңды тұлғаларға жергiлiктi бюджеттен 2005 жылға дейiн берiлген бюджеттiк кредиттер бойынша сыйақылар</t>
  </si>
  <si>
    <t>11</t>
  </si>
  <si>
    <t>Вознаграждения  по бюджетным кредитам, выданным из местного бюджета банкам-заемщикам</t>
  </si>
  <si>
    <t xml:space="preserve">Қарыз алушы банктерге жергілікті бюджеттен берілген бюджеттік кредиттер бойынша сыйақылар </t>
  </si>
  <si>
    <t>Вознаграждения по кредитам, выданным из государственного бюджета</t>
  </si>
  <si>
    <t xml:space="preserve">Мемлекеттік бюджеттен берілген кредиттер бойынша сыйақылар </t>
  </si>
  <si>
    <t>Вознаграждения, полученные от размещения в депозиты временно свободных бюджетных денег</t>
  </si>
  <si>
    <t>Депозиттерге уақытша бос бюджеттiк ақшаны орналастырудан алынған сыйақылар</t>
  </si>
  <si>
    <t>Вознаграждения за размещение бюджетных средств на банковских счетах</t>
  </si>
  <si>
    <t>Бюджет қаражатын банк шоттарына орналастырғаны үшiн сыйақылар</t>
  </si>
  <si>
    <t>6</t>
  </si>
  <si>
    <t>Доходы от аренды жилищ из жилищного фонда, находящегося в коммунальной собственности</t>
  </si>
  <si>
    <t>Коммуналдық меншiктегi тұрғын үй қорынан үйлердi жалдаудан түсетiн кiрiстер</t>
  </si>
  <si>
    <t>Доходы от аренды имущества, находящегося в коммунальной собственности</t>
  </si>
  <si>
    <t>Коммуналдық меншіктегі мүлікті жалдаудан түсетін кірістер</t>
  </si>
  <si>
    <t>Доходы от аренды  имущества, находящегося в государственной собственности</t>
  </si>
  <si>
    <t>Мемлекет меншігіндегі мүлікті жалға беруден түсетін кірістер</t>
  </si>
  <si>
    <t>Поступления части чистого дохода коммунальных государственных предприятий</t>
  </si>
  <si>
    <t>Коммуналдық мемлекеттік кәсіпорындардың таза кірісінің бір бөлігінің түсімдері</t>
  </si>
  <si>
    <t>Поступления части чистого дохода государственных предприятий</t>
  </si>
  <si>
    <t>Мемлекеттік кәсіпорындардың таза кірісі бөлігінің түсімдері</t>
  </si>
  <si>
    <t>Доходы от государственной собственности</t>
  </si>
  <si>
    <t>Мемлекеттiк меншiктен түсетiн кiрiстер</t>
  </si>
  <si>
    <t>Неналоговые поступления</t>
  </si>
  <si>
    <t>Салықтық емес түсiмдер</t>
  </si>
  <si>
    <t>Плата за эмиссии в  окружающую среду</t>
  </si>
  <si>
    <t>Қоршаған ортаға эмиссия  үшін төленетін төлемақы</t>
  </si>
  <si>
    <t>16</t>
  </si>
  <si>
    <t>Плата за  лесные пользования</t>
  </si>
  <si>
    <t>Орманды пайдаланғаны үшiн төлем</t>
  </si>
  <si>
    <t>Плата за пользование водными ресурсами поверхностных источников</t>
  </si>
  <si>
    <t>Жер бетiне жақын көздердегi су ресурстарын пайдаланғаны үшiн төлем</t>
  </si>
  <si>
    <t>Поступления за использование природных и других ресурсов</t>
  </si>
  <si>
    <t>Табиғи және басқа да ресурстарды пайдаланғаны үшiн түсетiн түсiмдер</t>
  </si>
  <si>
    <t>Внутренние налоги на товары, работы и услуги</t>
  </si>
  <si>
    <t>Тауарларға, жұмыстарға және қызметтерге салынатын iшкi салықтар</t>
  </si>
  <si>
    <t>Индивидуальный подоходный налог с доходов
иностранных граждан, облагаемых у источника выплаты</t>
  </si>
  <si>
    <t xml:space="preserve">Төлем көзiнен салық салынатын шетелдiк азаматтар табыстарынан ұсталатын жеке табыс салығы </t>
  </si>
  <si>
    <t>Индивидуальный подоходный налог с доходов, облагаемых у источника выплаты</t>
  </si>
  <si>
    <t>Төлем көзiнен салық салынатын табыстардан ұсталатын жеке табыс салығы</t>
  </si>
  <si>
    <t>Индивидуальный подоходный налог</t>
  </si>
  <si>
    <t>Жеке табыс салығы</t>
  </si>
  <si>
    <t>Подоходный налог</t>
  </si>
  <si>
    <t>Табыс салығы</t>
  </si>
  <si>
    <t>Налоговые поступления</t>
  </si>
  <si>
    <t>Салықтық түсімдер</t>
  </si>
  <si>
    <t>I. ДОХОДЫ</t>
  </si>
  <si>
    <t>I. КІРІСТЕР</t>
  </si>
  <si>
    <t xml:space="preserve">1 </t>
  </si>
  <si>
    <t>Наименование</t>
  </si>
  <si>
    <t>Атаулар</t>
  </si>
  <si>
    <t>Сома
Сумма</t>
  </si>
  <si>
    <t>РБ</t>
  </si>
  <si>
    <t>ОБ</t>
  </si>
  <si>
    <t xml:space="preserve">Областной бюджет на 2011 год </t>
  </si>
  <si>
    <t>2011 жылға арналған облыстық бюджет</t>
  </si>
  <si>
    <t>тыс.тенге</t>
  </si>
  <si>
    <t xml:space="preserve">Погашение долга местного исполнительного органа перед вышестоящим бюджетом </t>
  </si>
  <si>
    <t>Жергілікті атқарушы органның  жоғары тұрған бюджет алдындағы борышын өтеу</t>
  </si>
  <si>
    <t>Управление финансов области</t>
  </si>
  <si>
    <t>Облыстың қаржы басқармасы</t>
  </si>
  <si>
    <t>Погашение займов</t>
  </si>
  <si>
    <t>Қарыздарды өтеу</t>
  </si>
  <si>
    <t>Договоры займа</t>
  </si>
  <si>
    <t>Қарыз алу келісім-шарттары</t>
  </si>
  <si>
    <t>Внутренние государственные займы</t>
  </si>
  <si>
    <t>Мемлекеттік ішкі қарыздар</t>
  </si>
  <si>
    <t>Поступления займов</t>
  </si>
  <si>
    <t>Қарыздар түсімі</t>
  </si>
  <si>
    <t>VI. Финансирование дефицита                                         (использование профицита) бюджета</t>
  </si>
  <si>
    <t>VI. Бюджет тапшылығын қаржыландыру (профицитті пайдалану)</t>
  </si>
  <si>
    <t>V. Дефицит (профицит) бюджета </t>
  </si>
  <si>
    <t xml:space="preserve">V. Бюджет тапшылығы (профицит) </t>
  </si>
  <si>
    <t>Поступления от продажи финансовых активов внутри страны</t>
  </si>
  <si>
    <t>Қаржы активтерін ел  ішінде  сатудан түсетін түсімдер</t>
  </si>
  <si>
    <t>Поступления от продажи финансовых активов государства</t>
  </si>
  <si>
    <t>Мемлекеттің қаржы активтерін сатудан түсетін түсімдер</t>
  </si>
  <si>
    <t>Формирование или увеличение уставного капитала юридических лиц</t>
  </si>
  <si>
    <t>Заңды тұлғалардың жарғылық капиталын қалыптастыру немесе ұлғайту</t>
  </si>
  <si>
    <t>Прочие</t>
  </si>
  <si>
    <t>Басқалар</t>
  </si>
  <si>
    <t>Приобретение финансовых активов</t>
  </si>
  <si>
    <t xml:space="preserve">Қаржы активтерiн сатып алу </t>
  </si>
  <si>
    <t>IV. Сальдо по операциям с финансовыми активами </t>
  </si>
  <si>
    <t xml:space="preserve">IV.Қаржы активтерiмен жасалатын операциялар бойынша сальдо </t>
  </si>
  <si>
    <t>Погашение бюджетных кредитов, выданных из государственного бюджета</t>
  </si>
  <si>
    <t>Мемлекеттік бюджеттен берілген бюджеттік кредиттерді өтеу</t>
  </si>
  <si>
    <t>Погашение бюджетных кредитов</t>
  </si>
  <si>
    <t xml:space="preserve">Бюджеттiк кредиттерді өтеу </t>
  </si>
  <si>
    <t>Кредитование АО «Фонд развития предпринимательства «Даму» на реализацию государственной инвестиционной политики</t>
  </si>
  <si>
    <t>Мемлекеттік инвестициялық саясатты іске асыру үшін «Даму» кәсіпкерлікті дамыту қоры» АҚ несиелеу</t>
  </si>
  <si>
    <t>Управление предпринимательства и промышленности области</t>
  </si>
  <si>
    <t>Облыстың кәсіпкерлік және өнеркәсіп басқармасы</t>
  </si>
  <si>
    <t>Бюджетные кредиты местным исполнительным органам для реализации мер социальной поддержки специалистов социальной сферы сельских населенных пунктов</t>
  </si>
  <si>
    <t>Ауылдық елді мекендердің әлеуметтік саласының мамандарын әлеуметтік қолдау шараларын іске асыру үшін жергілікті атқарушы органдарға берілетін бюджеттік кредиттер</t>
  </si>
  <si>
    <t>Управление экономики и бюджетного планирования области</t>
  </si>
  <si>
    <t>Облыстың экономика және бюджеттік жоспарлау басқармасы</t>
  </si>
  <si>
    <t>Сельское, водное, лесное, рыбное хозяйство, особо охраняемые природные территории, охрана окружающей среды и животного мира, земельные отношения</t>
  </si>
  <si>
    <t>Ауыл, су, орман, балық шаруашылығы, ерекше қорғалатын табиғи аумақтар, қоршаған ортаны және жануарлар дүниесін қорғау, жер қатынастары</t>
  </si>
  <si>
    <t>Кредитование бюджетов районов (городов областного значения) на строительство и (или) приобретение жилья</t>
  </si>
  <si>
    <t>Аудандардың (облыстық маңызы бар қалалардың) бюджеттеріне тұрғын үй салуға және (немесе) сатып алуға кредит беру</t>
  </si>
  <si>
    <t>Управление строительства области</t>
  </si>
  <si>
    <t>Облыстың құрылыс басқармасы</t>
  </si>
  <si>
    <t>Жилищно-коммунальное хозяйство</t>
  </si>
  <si>
    <t>Тұрғын үй-коммуналдық шаруашылық</t>
  </si>
  <si>
    <t>Бюджетные кредиты</t>
  </si>
  <si>
    <t xml:space="preserve">Бюджеттiк несиелер </t>
  </si>
  <si>
    <t>III. Чистое бюджетное кредитование</t>
  </si>
  <si>
    <t xml:space="preserve">III. Таза бюджеттiк несие беру </t>
  </si>
  <si>
    <t>Целевые текущие трансферты в вышестоящие бюджеты в связи с передачей функций государственных органов из нижестоящего уровня государственного управления в вышестоящий</t>
  </si>
  <si>
    <t>Мемлекеттік органдардың функцияларын мемлекеттік басқарудың төмен тұрған  деңгейлерінен жоғарғы деңгейлерге беруге байланысты жоғары тұрған бюджеттерге берілетін ағымдағы нысаналы трансферттер</t>
  </si>
  <si>
    <t>Трансферты</t>
  </si>
  <si>
    <t>Трансферттер</t>
  </si>
  <si>
    <t>Развитие индустриальной инфраструктуры в рамках программы «Дорожная карта бизнеса - 2020»</t>
  </si>
  <si>
    <t>«Бизнестің жол картасы - 2020» бағдарламасы шеңберінде индустриялық инфрақұрылымды дамыту</t>
  </si>
  <si>
    <t>Управление энергетики и коммунального хозяйства области</t>
  </si>
  <si>
    <t>Облыстың Энергетика және коммуналдық шаруашылық басқармасы</t>
  </si>
  <si>
    <t>Сервисная поддержка ведения бизнеса в рамках программы «Дорожная карта бизнеса - 2020»</t>
  </si>
  <si>
    <t>«Бизнестің 2020 жылға дейінгі жол картасы» бағдарламасы шеңберінде бизнес жүргізуді сервистік қолдау</t>
  </si>
  <si>
    <t>Частичное гарантирование кредитов малому и среднему бизнесу в рамках  программы «Дорожная карта бизнеса - 2020»</t>
  </si>
  <si>
    <t>«Бизнестің жол картасы - 2020» бағдарламасы шеңберінде шағын және орта бизнеске кредиттерді ішінара кепілдендіру</t>
  </si>
  <si>
    <t>Субсидирование процентной ставки по кредитам в рамках программы «Дорожная карта бизнеса - 2020»</t>
  </si>
  <si>
    <t>«Бизнестің жол картасы - 2020» бағдарламасы шеңберінде кредиттер бойынша проценттік ставкаларды субсидиялау</t>
  </si>
  <si>
    <t>Поддержка частного предпринимательства в рамках программы «Дорожная карта бизнеса - 2020»</t>
  </si>
  <si>
    <t>«Бизнестің жол картасы - 2020» бағдарламасы шеңберінде жеке кәсіпкерлікті қолдау</t>
  </si>
  <si>
    <t>Услуги по реализации государственной политики на местном уровне в области развития предпринимательства и промышленности</t>
  </si>
  <si>
    <t>Жергілікті деңгейде кәсіпкерлікті және өнеркәсіпті дамыту саласындағы мемлекеттік саясатты іске асыру жөніндегі қызметтер</t>
  </si>
  <si>
    <t>Управление образования области</t>
  </si>
  <si>
    <t>Облыстың білім басқармасы</t>
  </si>
  <si>
    <t>Разработка или корректировка технико-экономического обоснования местных бюджетных инвестиционных проектов и концессионных проектов и проведение его экспертизы, консультативное сопровождение концессионных проектов</t>
  </si>
  <si>
    <t>Жергілікті бюджеттік инвестициялық жобалардың және концессиялық жобалардың техника-экономикалық негіздемесін әзірлеу немесе түзету және оған сараптама жүргізу, концессиялық жобаларды консультациялық сүйемелдеу</t>
  </si>
  <si>
    <t>Резерв местного исполнительного органа области</t>
  </si>
  <si>
    <t>Облыстық жергілікті атқарушы органының резервi</t>
  </si>
  <si>
    <t>Целевые текущие трансферты из республиканского бюджета бюджетам районов (городов областного значения) на поддержку частного предпринимательства в рамках программы «Дорожная карта бизнеса - 2020»</t>
  </si>
  <si>
    <t>Республикалық бюджеттен аудандардың (облыстық маңызы бар қалалар) бюджеттеріне «Бизнестің жол картасы - 2020» бағдарламасы шеңберінде жеке кәсіпкерлікті қолдауға берілетін нысаналы ағымдағы трансферттер</t>
  </si>
  <si>
    <t>Управление координации занятости и социальных  программ области</t>
  </si>
  <si>
    <t>Облыстың жұмыспен қамтуды үйлестіру және әлеуметтік бағдарламалар басқармасы</t>
  </si>
  <si>
    <t>Целевые трансферты на развитие из местных бюджетов</t>
  </si>
  <si>
    <t>Жергілікті бюджеттерден берілетін нысаналы даму трансферттері</t>
  </si>
  <si>
    <t>Целевые текущие трансферты из местных бюджетов</t>
  </si>
  <si>
    <t xml:space="preserve">Жергілікті бюджеттерден берілетін ағымдағы нысалы трансферттер </t>
  </si>
  <si>
    <t>Капитальные расходы государственных органов</t>
  </si>
  <si>
    <t>Мемлекеттік органдардың күрделі шығыстары</t>
  </si>
  <si>
    <t>Целевые текущие трансферты бюджетам районов (городов областного значения) на капитальный и средний ремонт автомобильных дорог районного значения (улиц города)</t>
  </si>
  <si>
    <t>Аудандық (облыстық маңызы бар қалалар) бюджеттеріне аудандық маңызы бар автомобиль жолдарын (қала көшелерін) күрделі және орташа жөндеуден өткізуге берілетін ағымдағы нысаналы трансферттер</t>
  </si>
  <si>
    <t>Обеспечение функционирования автомобильных дорог</t>
  </si>
  <si>
    <t>Автомобиль жолдарының жұмыс істеуін қамтамасыз ету</t>
  </si>
  <si>
    <t>Развитие транспортной инфраструктуры</t>
  </si>
  <si>
    <t>Көлік инфрақұрылымын дамыту</t>
  </si>
  <si>
    <t>Услуги по реализации государственной политики на местном уровне в области транспорта и коммуникаций</t>
  </si>
  <si>
    <t>Жергілікті деңгейде көлік және коммуникация саласындағы мемлекеттік саясатты іске асыру жөніндегі қызметтер</t>
  </si>
  <si>
    <t>Управление пассажирского транспорта и автомобильных дорог области</t>
  </si>
  <si>
    <t>Облыстың жолаушылар көлігі және автомобиль жолдары басқармасы</t>
  </si>
  <si>
    <t>Транспорт и коммуникации</t>
  </si>
  <si>
    <t>Көлiк және коммуникация</t>
  </si>
  <si>
    <t>Услуги по реализации государственной политики  в области архитектуры и градостроительства на местном уровне</t>
  </si>
  <si>
    <t>Жергілікті деңгейде сәулет және қала құрылысы саласындағы мемлекеттік саясатты іске асыру жөніндегі қызметтер</t>
  </si>
  <si>
    <t>Управление архитектуры и градостроительства области</t>
  </si>
  <si>
    <t>Облыстың сәулет және қала құрылысы басқармасы</t>
  </si>
  <si>
    <t>Услуги по реализации государственной политики на местном уровне в области строительства</t>
  </si>
  <si>
    <t>Жергілікті деңгейде құрлыс саласындағы мемлекеттік саясатты іске асыру жөніндегі қызметтер</t>
  </si>
  <si>
    <t>Услуги по реализации государственной политики на местном уровне в сфере государственного архитектурно-строительного контроля</t>
  </si>
  <si>
    <t>Жергілікті деңгейде мемлекеттік сәулет-құрылыс бақылау саласындағы мемлекеттік саясатты іске асыру жөніндегі қызметтер</t>
  </si>
  <si>
    <t>Управление государственного архитектурно-строительного контроля области</t>
  </si>
  <si>
    <t>Облыстың мемлекеттік сәулет-құрылыс бақылауы басқармасы</t>
  </si>
  <si>
    <t>Промышленность, архитектурная, градостроительная и строительная деятельность</t>
  </si>
  <si>
    <t>Өнеркәсіп, сәулет, қала құрылысы және құрылыс қызметі</t>
  </si>
  <si>
    <t>Целевые трансферты на развитие бюджетам  районов (городов областного значения) на развитие объектов водного хозяйства</t>
  </si>
  <si>
    <t>Су шаруашылығының объектілерін дамытуға аудандар (облыстық маңызы бар қалалар) бюджеттеріне берілетін нысаналы даму трансферттер</t>
  </si>
  <si>
    <t>Целевые текущие трансферты бюджетам районов (городов областного значения) для реализации мер социальной поддержки специалистов социальной сферы сельских населенных пунктов</t>
  </si>
  <si>
    <t>Аудандардың (облыстық маңызы бар қалалардың) бюджеттеріне ауылдық елді мекендер саласының мамандарын әлеуметтік қолдау шараларын іске асыру үшін берілетін ағымдағы нысаналы трансферттер</t>
  </si>
  <si>
    <t>Cубсидирование повышения продуктивности и качества товарного рыбоводства</t>
  </si>
  <si>
    <t>Тауарлық балық өсіру өнімділігі мен сапасын арттыруды субсидиялау</t>
  </si>
  <si>
    <t>Услуги по транспортировке ветеринарных препаратов до пункта временного хранения</t>
  </si>
  <si>
    <t xml:space="preserve">Уақытша сақтау пунктына ветеринариялық препараттарды тасымалдау бойынша қызмет көрсету </t>
  </si>
  <si>
    <t>Целевые текущие трансферты бюджетам районов (городов областного значения) на проведение противоэпизоотических мероприятий</t>
  </si>
  <si>
    <t>Аудандар (облыстық маңызы бар қалалар) бюджеттеріне эпизоотияға қарсы іс-шаралар жүргізуге берілетін ағымдағы нысаналы трансферттер</t>
  </si>
  <si>
    <t>Удешевление стоимости горюче-смазочных материалов и других товарно-материальных ценностей, необходимых для проведения весенне-полевых и уборочных работ</t>
  </si>
  <si>
    <t>Көктемгі егіс және егін жинау жұмыстарын жүргізу үшін қажетті жанар-жағар май және басқа да тауар-материалдық құндылықтарының құнын арзандату</t>
  </si>
  <si>
    <t>Субсидирование повышения продуктивности и качества продукции животноводства</t>
  </si>
  <si>
    <t>Мал шаруашылығы өнімдерінің өнімділігін және сапасын арттыруды субсидиялау</t>
  </si>
  <si>
    <t>Государственная поддержка повышения урожайности и качества производимых сельскохозяйственных культур</t>
  </si>
  <si>
    <t>Өндірілетін ауыл шаруашылығы дақылдарының шығындылығы мен сапасын арттыруды мемлекеттік қолдау</t>
  </si>
  <si>
    <t>Государственная поддержка племенного животноводства</t>
  </si>
  <si>
    <t xml:space="preserve">Асыл тұқымды мал шаруашылығын мемлекеттік қолдау  </t>
  </si>
  <si>
    <t>Субсидирование стоимости услуг  по подаче питьевой воды из особо важных групповых и локальных систем водоснабжения, являющихся безальтернативными источниками питьевого водоснабжения</t>
  </si>
  <si>
    <t>Ауыз сумен жабдықтаудың баламасыз көздерi болып табылатын сумен жабдықтаудың аса маңызды топтық жүйелерiнен ауыз су беру жөніндегі қызметтердің құнын субсидиялау</t>
  </si>
  <si>
    <t>Развитие информационно-маркетинговой системы сельского хозяйства</t>
  </si>
  <si>
    <t>Ауыл шаруашылығының ақпараттық-маркетингтік жүйесін дамыту</t>
  </si>
  <si>
    <t>Поддержка семеноводства</t>
  </si>
  <si>
    <t>Тұқым шаруашылығын қолдау</t>
  </si>
  <si>
    <t>Услуги по реализации государственной политики на местном уровне в сфере сельского хозяйства</t>
  </si>
  <si>
    <t>Жергілікте деңгейде ауыл шаруашылығы  саласындағы мемлекеттік саясатты іске асыру жөніндегі қызметтер</t>
  </si>
  <si>
    <t>Управление сельского хозяйства области</t>
  </si>
  <si>
    <t>Облыстың ауыл шаруашылығы басқармасы</t>
  </si>
  <si>
    <t>Создание лесонасаждений вдоль автомобильной дороги «Астана-Щучинск» на участках «Шортанды-Щучинск» за счет целевых трансфертов из республиканского бюджета</t>
  </si>
  <si>
    <t>Республикалық бюджеттен нысаналы трансферттер есебінен «Шортанды - Щучинск» учаскесінде «Астана – Щучинск» автомобиль жолының бойында орман екпе ағаштарын отырғызу</t>
  </si>
  <si>
    <t>Мероприятия по охране окружающей среды</t>
  </si>
  <si>
    <t xml:space="preserve">Қоршаған ортаны қорғау бойынша іс-шаралар </t>
  </si>
  <si>
    <t>Охрана,защита,воспроизводство лесов и лесоразведение</t>
  </si>
  <si>
    <t>Ормандарды сақтау, қорғау, молайту және орман өсiру</t>
  </si>
  <si>
    <t>Услуги по реализации государственной политики в сфере охраны окружающей  среды на местном уровне</t>
  </si>
  <si>
    <t>Жергілікті деңгейде қоршаған ортаны қорғау саласындағы мемлекеттік саясатты іске асыру жөніндегі қызметтер</t>
  </si>
  <si>
    <t>Управление природных ресурсов и регулирования природопользования области</t>
  </si>
  <si>
    <t>Облыстың табиғи ресурстар және табиғат пайдалануды реттеу басқармасы</t>
  </si>
  <si>
    <t>Услуги по реализации государственной политики в области регулирования земельных отношений на территории области</t>
  </si>
  <si>
    <t xml:space="preserve">Облыс аумағында жер қатынастарын реттеу саласындағы мемлекеттік саясатты іске асыру жөніндегі қызметтер </t>
  </si>
  <si>
    <t>Управление земельных отношений области</t>
  </si>
  <si>
    <t>Облыстың жер қатынастары басқармасы</t>
  </si>
  <si>
    <t>Целевые трансферты на развитие бюджетам  районов (городов областного значения) на развитие теплоэнергетической системы</t>
  </si>
  <si>
    <t>Жылу-энергетикалық жүйені дамытуға аудандар (облыстық маңызы бар қалалар) бюджеттеріне нысаналы даму трансферттері</t>
  </si>
  <si>
    <t>Топливно-энергетический комплекс и недропользование</t>
  </si>
  <si>
    <t>Отын-энергетика кешенi және жер қойнауын пайдалану</t>
  </si>
  <si>
    <t>Развитие объектов спорта и туризма</t>
  </si>
  <si>
    <t>Спорт объектілерін дамыту</t>
  </si>
  <si>
    <t>Развитие объектов культуры</t>
  </si>
  <si>
    <t>Мәдениет объектілерін дамыту</t>
  </si>
  <si>
    <t>Развитие государственного языка и других языков народа Казахстана</t>
  </si>
  <si>
    <t>Мемлекеттiк тiлдi және Қазақстан халықтарының басқа да тiлдерін дамыту</t>
  </si>
  <si>
    <t>Услуги по реализации государственной политики на местном уровне в области развития языков</t>
  </si>
  <si>
    <t xml:space="preserve">Жергілікті деңгейде тілдерді дамыту саласындағы мемлекеттік саясатты іске асыру жөніндегі қызметтер  </t>
  </si>
  <si>
    <t>Управление по развитию языков области</t>
  </si>
  <si>
    <t>Облыстың тілдерді дамыту басқармасы</t>
  </si>
  <si>
    <t>Услуги по проведению государственной информационной политики</t>
  </si>
  <si>
    <t xml:space="preserve">Мемлекеттік ақпараттық саясат жүргізу жөніндегі қызметтер  </t>
  </si>
  <si>
    <t>Реализация региональных программ в сфере молодежной политики</t>
  </si>
  <si>
    <t>Жастар саясаты саласында өңірлік бағдарламаларды іске асыру</t>
  </si>
  <si>
    <t>Услуги по реализации государственной внутренней политики на местном уровне</t>
  </si>
  <si>
    <t>Жергілікті деңгейде мемлекеттік ішкі саясатты іске асыру жөніндегі қызметтер</t>
  </si>
  <si>
    <t>Управление внутренней политики области</t>
  </si>
  <si>
    <t>Облыстың ішкі саясат басқармасы</t>
  </si>
  <si>
    <t xml:space="preserve">Жергілікті бюджеттерден берілетін ағымдағы нысаналы  трансферттер </t>
  </si>
  <si>
    <t>Обеспечение функционирования областных библиотек</t>
  </si>
  <si>
    <t>Облыстық кітапханалардың жұмыс істеуін қамтамасыз ету</t>
  </si>
  <si>
    <t>Поддержка театрального и музыкального искусства</t>
  </si>
  <si>
    <t>Театр және музыка өнерін қолдау</t>
  </si>
  <si>
    <t>Обеспечение сохранности историко-культурного наследия и доступа к ним</t>
  </si>
  <si>
    <t>Тарихи-мәдени мұралардың сақталуын және оған қол жетімді болуын қамтамасыз ету</t>
  </si>
  <si>
    <t>Поддержка культурно-досуговой работы</t>
  </si>
  <si>
    <t>Мәдени-демалыс жұмысын қолдау</t>
  </si>
  <si>
    <t>Создание информационных систем</t>
  </si>
  <si>
    <t>Ақпараттық жүйелер құру</t>
  </si>
  <si>
    <t>Услуги по реализации государственной политики на местном уровне в области культуры</t>
  </si>
  <si>
    <t>Жергiлiктi деңгейде мәдениет саласындағы мемлекеттік саясатты іске асыру жөніндегі қызметтер</t>
  </si>
  <si>
    <t>Управление культуры области</t>
  </si>
  <si>
    <t>Облыстың мәдениет басқармасы</t>
  </si>
  <si>
    <t>Регулирование туристской деятельности</t>
  </si>
  <si>
    <t>Туристік қызметті реттеу</t>
  </si>
  <si>
    <t>Подготовка и участие членов областных сборных команд по различным видам спорта на республиканских и международных спортивных соревнованиях</t>
  </si>
  <si>
    <t>Әртүрлi спорт түрлерi бойынша облыстық құрама командаларының мүшелерiн дайындау және олардың республикалық және халықаралық спорт жарыстарына қатысуы</t>
  </si>
  <si>
    <t>Проведение спортивных соревнований на областном уровне</t>
  </si>
  <si>
    <t>Облыстық деңгейінде спорт жарыстарын өткізу</t>
  </si>
  <si>
    <t>Услуги по реализации государственной политики на местном уровне  в сфере туризма, физической культуры и спорта</t>
  </si>
  <si>
    <t>Жергілікті деңгейде туризм, дене шынықтыру және спорт саласындағы мемлекеттік саясатты іске асыру жөніндегі қызметтер</t>
  </si>
  <si>
    <t>Управление туризма, физической культуры и спорта области</t>
  </si>
  <si>
    <t xml:space="preserve">Облыстың туризм, дене тәрбиесі және спорт басқармасы </t>
  </si>
  <si>
    <t>Обеспечение сохранности архивного фонда</t>
  </si>
  <si>
    <t>Мұрағат қорының сақталуын қамтамасыз ету</t>
  </si>
  <si>
    <t>Услуги по реализации государственной политики на местном уровне по управлению архивным делом</t>
  </si>
  <si>
    <t xml:space="preserve">Жергілікті деңгейде мұрағат ісін басқару жөніндегі мемлекеттік саясатты іске асыру жөніндегі қызметтер </t>
  </si>
  <si>
    <t>Управление архивов и документации области</t>
  </si>
  <si>
    <t>Облыстың мұрағаттар және құжаттама басқармасы</t>
  </si>
  <si>
    <t>Культура, спорт, туризм и информационное пространство</t>
  </si>
  <si>
    <t>Мәдениет, спорт, туризм және ақпараттық кеңістiк</t>
  </si>
  <si>
    <t xml:space="preserve">Жергілікті бюджеттерден берілетін нысаналы даму трансферттері </t>
  </si>
  <si>
    <t>Целевые трансферты на развитие бюджетам  районов (городов областного значения) на развитие коммунального хозяйства</t>
  </si>
  <si>
    <t>Аудандар (облыстық маңызы бар қалалар) бюджеттеріне коммуналдық шаруашылықты дамытуға арналған нысаналы трансферттері</t>
  </si>
  <si>
    <t>Целевые трансферты на развитие из республиканского бюджета бюджетам  районов (городов областного значения) на развитие системы водоснабжения</t>
  </si>
  <si>
    <t>Аудандардың  (облыстық маңызы бар қалалардың) бюджеттеріне сумен жабдықтау жүйесін дамытуға республикалық бюджеттен берілетін нысаналы даму трансферттер</t>
  </si>
  <si>
    <t>Газификация населенных пунктов</t>
  </si>
  <si>
    <t>Елдi мекендердi газдандыру</t>
  </si>
  <si>
    <t>Услуги по реализации государственной политики на местном уровне в области энергетики и коммунального хозяйства</t>
  </si>
  <si>
    <t>Жергілікті деңгейде энергетика және коммуналдық шаруашылық саласындағы мемлекеттік саясатты іске асыру жөніндегі қызметтер</t>
  </si>
  <si>
    <t>Целевые трансферты на развитие из областного бюджета бюджетам  районов (городов областного значения) на развитие системы водоснабжения</t>
  </si>
  <si>
    <t>Аудандардың  (облыстық маңызы бар қалалардың) бюджеттеріне сумен жабдықтау жүйесін дамытуға облыстық бюджеттен берілетін нысаналы даму трансферттер</t>
  </si>
  <si>
    <t>Целевые трансферты на развитие из областного бюджета бюджетам районов (городов областного значения) на развитие, обустройство и (или) приобретение инженерно-коммуникационной инфраструктуры</t>
  </si>
  <si>
    <t>Аудандардың (облыстық маңызы бар қалалардың) бюджеттеріне инженерлік-коммуникациялық инфрақұрылымды дамытуға, жайластыруға және (немесе) сатып алуға облыстық бюджеттен берілетін нысаналы даму трансферттері</t>
  </si>
  <si>
    <t>Целевые трансферты на развитие из республиканского бюджета бюджетам районов (городов областного значения) на развитие, обустройство и (или) приобретение инженерно-коммуникационной инфраструктуры</t>
  </si>
  <si>
    <t>Аудандардың (облыстық маңызы бар қалалардың) бюджеттеріне инженерлік-коммуникациялық инфрақұрылымды дамытуға, жайластыруға және (немесе) сатып алуға республикалық бюджеттен берілетін нысаналы даму трансферттері</t>
  </si>
  <si>
    <t>Целевые трансферты на развитие из областного бюджета бюджетам районов (городов областного значения) на строительство и (или) приобретение жилья государственного коммунального жилищного фонда</t>
  </si>
  <si>
    <t>Аудандардың (облыстық маңызы бар қалалардың) бюджеттеріне мемлекеттік коммуналдық тұрғын үй қорының тұрғын үйлерін салуға және (немесе) сатып алуға облыстық бюджеттен берілетін нысаналы даму трансферттері</t>
  </si>
  <si>
    <t>Целевые трансферты на развитие из республиканского бюджета бюджетам районов (городов областного значения) на строительство и (или) приобретение жилья государственного коммунального жилищного фонда</t>
  </si>
  <si>
    <t>Аудандардың (облыстық маңызы бар қалалардың) бюджеттеріне мемлекеттік коммуналдық тұрғын үй қорының тұрғын үйлерін салуға және (немесе) сатып алуға республикалық бюджеттен берілетін нысаналы даму трансферттері</t>
  </si>
  <si>
    <t>Социальная реабилитация</t>
  </si>
  <si>
    <t>Әлеуметтік сауықтандыру</t>
  </si>
  <si>
    <t>Социальное обеспечение сирот, детей, оставшихся без попечения родителей</t>
  </si>
  <si>
    <t>Жетiм балаларды, ата-анасының қамқорлығынсыз қалған балаларды әлеуметтік қамсыздандыру</t>
  </si>
  <si>
    <t>Размещение государственного социального заказа  в неправительственном секторе за счет целевых трансферов из республиканского бюджета</t>
  </si>
  <si>
    <t>Республикалық бюджеттен берілетін нысаналы трансферттер есебiнен үкіметтік емес секторда мемлекеттік әлеуметтік тапсырысты орналастыру</t>
  </si>
  <si>
    <t>Предоставление специальных социальных услуг для детей-инвалидов с психоневрологическими патологиями в детских психоневрологических медико-социальных учреждениях (организациях)</t>
  </si>
  <si>
    <t>Психоневрологиялық медициналық-әлеуметтік мекемелерде (ұйымдарда) жүйкесі бұзылған мүгедек балалар үшін арнаулы әлеуметтік қызметтер көрсету</t>
  </si>
  <si>
    <t>Предоставление специальных социальных услуг для инвалидов с психоневрологическими заболеваниями в психоневрологических медико-социальных учреждениях (организациях)</t>
  </si>
  <si>
    <t>Психоневрологиялық медициналық-әлеуметтік мекемелерде (ұйымдарда) психоневрологиялық аурулармен ауыратын мүгедектер үшін арнаулы әлеуметтік қызметтер көрсету</t>
  </si>
  <si>
    <t>Социальная поддержка инвалидов</t>
  </si>
  <si>
    <t>Мүгедектерге әлеуметтік қолдау көрсету</t>
  </si>
  <si>
    <t>Предоставление специальных социальных услуг для престарелых и инвалидов в медико-социальных учреждениях (организациях) общего типа</t>
  </si>
  <si>
    <t>Жалпы үлгідегі медициналық-әлеуметтік мекемелерде (ұйымдарда) қарттар мен мүгедектерге арнаулы әлеуметтік қызметтер көрсету</t>
  </si>
  <si>
    <t>Услуги по реализации государственной политики на местном уровне в области обеспечения занятости и реализации социальных программ для населения</t>
  </si>
  <si>
    <t>Жергілікті деңгейде облыстың жұмыспен қамтуды қамтамасыз ету  үшін және әлеуметтік бағдарламаларды іске асыру саласындағы мемлекеттік саясатты іске асыру жөніндегі қызметтер</t>
  </si>
  <si>
    <t>Социальная помощь и социальное обеспечение</t>
  </si>
  <si>
    <t>Әлеуметтiк көмек және әлеуметтiк қамсыздандыру</t>
  </si>
  <si>
    <t>Строительство и реконструкция объектов здравоохранения</t>
  </si>
  <si>
    <t>Деңсаулық сақтау объектілерін салу және реконструкциялау</t>
  </si>
  <si>
    <t>Обеспечение тромболитическими препаратами больных с острым инфарктом миокарда</t>
  </si>
  <si>
    <t xml:space="preserve">Жіті миокард инфаркт сырқаттарын тромболитикалық препараттармен қамтамасыз ету </t>
  </si>
  <si>
    <t>Капитальные расходы медицинских  организаций здравоохранения</t>
  </si>
  <si>
    <t>Денсаулық сақтаудың медициналық ұйымдарының күрделі шығыстары</t>
  </si>
  <si>
    <t>Капитальные расходы государственных органов здравоохранения</t>
  </si>
  <si>
    <t>Мемлекеттік денсаулық сақтау органдарының күрделі шығыстары</t>
  </si>
  <si>
    <t>Областные базы спецмедснабжения</t>
  </si>
  <si>
    <t>Облыстық арнайы медициналық жабдықтау базалары</t>
  </si>
  <si>
    <t>Централизованный закуп вакцин и других медицинских иммунобиологических препаратов для проведения иммунопрофилактики населения</t>
  </si>
  <si>
    <t>Халыққа иммунды алдын алу жүргізу үшін вакциналарды және басқа иммундық-биологиялық препараттарды орталықтандырылған сатып алу</t>
  </si>
  <si>
    <t>Обеспечение факторами свертывания крови при лечении взрослых, больных гемофилией</t>
  </si>
  <si>
    <t>Гемофилиямен ауыратын ересек адамдарды емдеу кезінде қанның ұюы факторлармен қамтамасыз ету</t>
  </si>
  <si>
    <t>Обеспечение больных с хронической почечной недостаточностью, миастенией, а также больных после трансплантации почек лекарственными средствами</t>
  </si>
  <si>
    <t xml:space="preserve">Бүйрек функциясының созылмалы жеткіліксіздігі, миастениямен ауыратын науқастарды, сондай-ақ бүйрегі транспланттаудан кейінгі науқастарды дәрілік заттармен қамтамасыз ету  
</t>
  </si>
  <si>
    <t>Обеспечение онкологических больных химиопрепаратами</t>
  </si>
  <si>
    <t>Онкологиялық ауруларды химия препараттарымен қамтамасыз ету</t>
  </si>
  <si>
    <t>Обеспечение больных диабетом противодиабетическими препаратами</t>
  </si>
  <si>
    <t>Диабет ауруларын диабетке қарсы препараттарымен қамтамасыз ету</t>
  </si>
  <si>
    <t>Обеспечение больных туберкулезом противотуберкулезными препаратами</t>
  </si>
  <si>
    <t>Туберкулез ауруларын туберкулез ауруларына қарсы препараттарымен қамтамасыз ету</t>
  </si>
  <si>
    <t>Информационно-аналитические услуги в области здравоохранения</t>
  </si>
  <si>
    <t>Денсаулық сақтау саласындағы ақпараттық талдамалық қызметі</t>
  </si>
  <si>
    <t>Приобретение тест-систем для проведения дозорного эпидемиологического надзора</t>
  </si>
  <si>
    <t>Шолғыншы эпидемиологиялық қадағалау жүргізу үшін тест-жүйелерін сатып алу</t>
  </si>
  <si>
    <t>Обеспечение граждан бесплатным или льготным проездом за пределы населенного пункта на лечение</t>
  </si>
  <si>
    <t>Азаматтарды елді мекеннің шегінен тыс емделуге тегін және жеңілдетілген жол жүрумен қамтамасыз ету</t>
  </si>
  <si>
    <t>Обеспечение лекарственными средствами и специализированными продуктами детского и лечебного питания отдельных категорий населения на амбулаторном уровне</t>
  </si>
  <si>
    <t>Халықтың жекелеген санаттарын амбулаториялық деңгейде дәрілік заттармен және мамандандырылған балалар және емдік тамақ өнімдерімен қамтамасыз ету</t>
  </si>
  <si>
    <t>Проведение патологоанатомического вскрытия</t>
  </si>
  <si>
    <t>Патологоанатомиялық союды жүргізу</t>
  </si>
  <si>
    <t>Оказание скорой медицинской помощи и санитарная авиация</t>
  </si>
  <si>
    <t>Жедел медициналық  көмек көрсету және санитарлық авиация</t>
  </si>
  <si>
    <t>Оказание амбулаторно-поликлинической помощи населению за исключением медицинской помощи, оказываемой из средств республиканского бюджета</t>
  </si>
  <si>
    <t>Республикалық бюджет қаражатынан көрсетілетін медициналық көмекті қоспағанда, халыққа амбулаторлық-емханалық көмек көрсету</t>
  </si>
  <si>
    <t>Оказание медицинской помощи лицам, страдающим туберкулезом, инфекционными заболеваниями, психическими расстройствами и расстройствами поведения, в том числе связанные с употреблением психоактивных веществ</t>
  </si>
  <si>
    <t>Туберкулезден, жұқпалы және психикалық аурулардан және жүйкесі бұзылуынан, соның ішінде жүйкеге әсер ететін заттарды қолданылуымен байланысты зардап шегетін адамдарға медициналық көмек көрсету</t>
  </si>
  <si>
    <t>Реализация мероприятий по профилактике и борьбе со СПИД в Республике Казахстан</t>
  </si>
  <si>
    <t>Қазақстан Республикасында ЖҚТБ індетінің алдын алу және қарсы күрес жөніндегі іс-шараларды іске асыру</t>
  </si>
  <si>
    <t>Пропаганда здорового образа жизни</t>
  </si>
  <si>
    <t>Салауатты өмір салтын насихаттау</t>
  </si>
  <si>
    <t>Услуги по охране материнства и детства</t>
  </si>
  <si>
    <t>Ана мен баланы қорғау жөніндегі қызметтер</t>
  </si>
  <si>
    <t>Производство крови, ее компонентов и препаратов для местных организаций здравоохранения</t>
  </si>
  <si>
    <t>Жергілікті денсаулық сақтау ұйымдары үшін қанды, оның құрамдарын және дәрілерді өндіру</t>
  </si>
  <si>
    <t>Оказание стационарной медицинской помощи по направлению специалистов первичной медико-санитарной помощи и организаций здравоохранения, за исключением медицинских услуг, закупаемых центральным уполномоченным органом в области здравоохранения</t>
  </si>
  <si>
    <t>Республиқалық бюджет қаражаты есебінен көрсетілетін медициналық көмекті қоспағанда, бастапқы медициналық-санитарлық көмек және денсаулық сақтау ұйымдары мамандарын жіберу бойынша стационарлық медициналық көмек көрсету</t>
  </si>
  <si>
    <t>Услуги по реализации государственной политики на местном уровне в области здравоохранения</t>
  </si>
  <si>
    <t>Жергілікті деңгейде денсаулық сақтау саласындағы  мемлекеттік саясатты іске асыру жөніндегі қызметтер</t>
  </si>
  <si>
    <t>Управление здравоохранения области</t>
  </si>
  <si>
    <t>Облыстың денсаулық сақтау басқармасы</t>
  </si>
  <si>
    <t>Здравоохранение</t>
  </si>
  <si>
    <t>Денсаулық сақтау</t>
  </si>
  <si>
    <t>Целевые трансферты на развитие из областного бюджета бюджетам  районов (городов областного значения) на строительство и реконструкцию объектов образования</t>
  </si>
  <si>
    <t xml:space="preserve">Білім беру объектілерін салуға және реконструкциялауға аудандар облыстық бюджеттен (облыстық маңызы бар қалалар) бюджеттеріне берілетін нысаналы даму трансферттер </t>
  </si>
  <si>
    <t>Целевые трансферты на развитие из республиканского бюджета бюджетам  районов (городов областного значения) на строительство и реконструкцию объектов образования</t>
  </si>
  <si>
    <t xml:space="preserve">Білім беру объектілерін салуға және реконструкциялауға аудандар республикалық бюджеттен (облыстық маңызы бар қалалар) бюджеттеріне берілетін нысаналы даму трансферттер  </t>
  </si>
  <si>
    <t>Целевые текущие трансферты бюджетам районов (городов областного значения) на создание лингафонных и мультимедийных кабинетов в государственных учреждениях начального, основного среднего и общего среднего образования</t>
  </si>
  <si>
    <t>Аудандардың (облыстық маңызы бар қалалардың) бюджеттеріне бастауыш, негізгі орта және жалпы орта білім беретін мемлекеттік мекемелерде лингафондық және мультимедиалық кабинеттер құруға берілетін ағымдағы нысаналы трансферттер</t>
  </si>
  <si>
    <t>Целевые текущие трансферты бюджетам районов (городов областного значения) на оснащение учебным оборудованием кабинетов физики, химии, биологии в государственных учреждениях  основного среднего и общего среднего образования</t>
  </si>
  <si>
    <t>Аудандардың (облыстық маңызы бар қалалардың) бюджеттеріне негізгі орта және жалпы орта білім беретін мемлекеттік мекемелердегі физика, химия, биология кабинеттерін оқу жабдығымен жарақтандыруға берілетін ағымдағы нысаналы трансферттер</t>
  </si>
  <si>
    <t>Целевые текущие трансферты из республиканского бюджета бюджетам районов (городов областного значения) на обеспечение оборудованием, программным обеспечением детей-инвалидов, обучающихся  на дому</t>
  </si>
  <si>
    <t>Үйде оқытылатын мүгедек балаларды жабдықпен, бағдарламалық қамтыммен қамтамасыз етуге аудандардың (облыстық маңызы бар қалалардың) бюджеттеріне облыстық бюджеттен берілетін ағымдағы нысаналы трансферттер</t>
  </si>
  <si>
    <t>Приобретение учебного оборудования для повышения квалификации педагогических кадров</t>
  </si>
  <si>
    <t>Обновление и переоборудование учебно-производственных мастерских, лабораторий учебных заведений технического и профессионального образования</t>
  </si>
  <si>
    <t>Техникалық және  кәсіптік білім беретін оқу орындарында оқу-өндірістік шеберханаларды, зертханаларды жаңарты және қайта жабдықтау</t>
  </si>
  <si>
    <t>Целевые текущие трансферты из республиканского бюджета бюджетам районов (городов областного значения) на ежемесячные выплаты денежных средств опекунам (попечителям) на содержание ребенка сироты (детей-сирот), и ребенка (детей), оставшегося без попечения родителей</t>
  </si>
  <si>
    <t>Жетім баланы (жетім балаларды) және ата-аналарының қамқорынсыз қалған баланы (балаларды) күтіп-ұстауға асыраушыларына  ай сайынғы ақшалай қаражат төлемдеріне аудандардың (облыстық маңызы бар қалалардың) бюджеттеріне республикалық бюджеттен берілетін ағымдағы нысаналы трансферттер</t>
  </si>
  <si>
    <t>Целевые текущие трансферты бюджетам районов (городов областного значения) на реализацию государственного образовательного заказа в дошкольных организациях образования</t>
  </si>
  <si>
    <t>Мектепке дейінгі білім беру ұйымдарында мемлекеттік білім беру тапсырыстарын іске асыруға аудандардың (облыстық маңызы бар қалалардың) бюджеттеріне берілетін ағымдағы нысаналы трансферттер</t>
  </si>
  <si>
    <t>Подготовка специалистов в организациях технического и профессионального образования</t>
  </si>
  <si>
    <t>Техникалық және кәсіптік білім беру ұйымдарында мамандар даярлау</t>
  </si>
  <si>
    <t>Обследование психического здоровья детей и подростков и оказание психолого-медико-педагогической консультативной помощи населению</t>
  </si>
  <si>
    <t>Балалар мен жеткіншектердің психикалық денсаулығын зерттеу және халыққа психологиялық-медициналық-педагогикалық консультациялық көмек көрсету</t>
  </si>
  <si>
    <t>Повышение квалификации и переподготовка кадров</t>
  </si>
  <si>
    <t>Кадрлардың біліктілігін арттыру және оларды қайта даярлау</t>
  </si>
  <si>
    <t>Проведение школьных олимпиад, внешкольных мероприятий и конкурсов областного масштаба</t>
  </si>
  <si>
    <t>Облыстық ауқымда мектеп олимпиадаларын, мектептен тыс іс-шараларды және конкурстар өткізу</t>
  </si>
  <si>
    <t>Общеобразовательное обучение одаренных детей в специализированных организациях образования</t>
  </si>
  <si>
    <t>Мамандандырылған білім беру ұйымдарында дарынды балаларға жалпы білім беру</t>
  </si>
  <si>
    <t>Приобретение и доставка учебников, учебно-методических комплексов для областных государственных учреждений образования</t>
  </si>
  <si>
    <t>Білім берудің мемлекеттік облыстық мекемелер үшін оқулықтар мен оқу-әдiстемелiк кешендерді сатып алу және жеткізу</t>
  </si>
  <si>
    <t>Информатизация системы образования в областных государственных учреждениях образования</t>
  </si>
  <si>
    <t>Білім берудің мемлекеттік облыстық мекемелерінде білім беру жүйесін ақпараттандыру</t>
  </si>
  <si>
    <t>Общеобразовательное обучение по специальным образовательным учебным программам</t>
  </si>
  <si>
    <t>Арнайы білім беретін оқу бағдарламалары бойынша жалпы білім беру</t>
  </si>
  <si>
    <t>Услуги по реализации государственной политики на местном уровне в области образования</t>
  </si>
  <si>
    <t>Жергілікті деңгейде білім беру саласындағы мемлекеттік саясатты іске асыру жөніндегі қызметтер</t>
  </si>
  <si>
    <t>Общеобразовательное обучение одаренных в спорте детей в специализированных организациях образования</t>
  </si>
  <si>
    <t>Мамандандырылған бiлiм беру ұйымдарында спорттағы дарынды балаларға жалпы бiлiм беру</t>
  </si>
  <si>
    <t>Дополнительное образование для детей и юношества по спорту</t>
  </si>
  <si>
    <t>Балалар мен жасөспірімдерге  спорт бойынша қосымша білім беру</t>
  </si>
  <si>
    <t>Подготовка специалистов в организациях технического и профессионального, послесреднего образования</t>
  </si>
  <si>
    <t>Техникалық және кәсіптік, орта білімнен кейінгі білім беру мекемелерінде мамандар даярлау</t>
  </si>
  <si>
    <t>Исполнительный орган внутренних дел, финансируемый из областного бюджета</t>
  </si>
  <si>
    <t>Облыстық бюджеттен қаржыландырылатын атқарушы ішкі істер органы</t>
  </si>
  <si>
    <t>Образование</t>
  </si>
  <si>
    <t>Бiлiм беру</t>
  </si>
  <si>
    <t>Строительство зданий районных отделов внутренних дел Акмолинской области за счет целевых трансфертов из республиканского бюджета</t>
  </si>
  <si>
    <t xml:space="preserve">Республикалық бюджеттен берілетін нысаналы трансферттердің есебінен Ақмола облысының аудандық ішкі істер бөлімдері ғимараттарының құрылысы </t>
  </si>
  <si>
    <t>Содержание и материально-техническое оснащение  Центра временного размещения оралманов и  Центра адаптации и интеграции оралманов</t>
  </si>
  <si>
    <t>Оралмандарды уақытша орналастыру орталығын және Оралмандарды бейімдеу мен біріктіру орталығын  материалдық-техникалық жарақтандыру және ұстау</t>
  </si>
  <si>
    <t>Содержание, материально-техническое оснащение дополнительной штатной численности миграционной полиции, документирование оралманов</t>
  </si>
  <si>
    <t>Көші-кон полициясының қосымша штаттық санын материалдық-техникалық жарақтандыру және ұстау,  оралмандарды құжаттандыру</t>
  </si>
  <si>
    <t>Обеспечение охраны общественного порядка во время проведений мероприятий международного значения за счет целевых трансфертов из республиканского бюджета</t>
  </si>
  <si>
    <t>Қоғамдық тәртiптi сақтау және қауiпсiздiктi қамтамасыз етуге  берілетін ағымдағы нысаналы трансферттер</t>
  </si>
  <si>
    <t>Проведение операции «Мак»</t>
  </si>
  <si>
    <t>«Мак» операциясын өткізу</t>
  </si>
  <si>
    <t>Организация содержания служебных животных</t>
  </si>
  <si>
    <t>Қызмет жануаларын ұстауды ұйымдастыру</t>
  </si>
  <si>
    <t>Организация  содержания лиц, арестованных в административном порядке</t>
  </si>
  <si>
    <t>Әкімшілік тәртіппен тұткындалған адамдарды ұстауды ұйымдастыру</t>
  </si>
  <si>
    <t>Услуги по размещению лиц, не имеющих определенного места  жительства и документов</t>
  </si>
  <si>
    <t>Белгілі тұратын жері және құжаттары жоқ адамдарды орналастыру қызметтері</t>
  </si>
  <si>
    <t>Поощрение граждан, участвующих в охране общественного порядка</t>
  </si>
  <si>
    <t xml:space="preserve">Қоғамдық тәртіпті қорғауға қатысатын азаматтарды көтермелеу </t>
  </si>
  <si>
    <t>Услуги по реализации государственной политики в области обеспечения охраны общественного порядка и безопасности на территории области</t>
  </si>
  <si>
    <t xml:space="preserve">Облыс аумағында қоғамдық тәртіптті және қауіпсіздікті сақтауды қамтамасыз ету  саласындағы мемлекеттік саясатты іске асыру жөніндегі қызметтер </t>
  </si>
  <si>
    <t>Общественный порядок, безопасность, правовая, судебная, уголовно-исполнительная деятельность</t>
  </si>
  <si>
    <t>Қоғамдық тәртіп, қауіпсіздік, құқықтық, сот, қылмыстық-атқару қызметі</t>
  </si>
  <si>
    <t>Предупреждение и ликвидация чрезвычайных ситуаций областного масштаба</t>
  </si>
  <si>
    <t>Облыстық ауқымдағы төтенше жағдайлардың алдын алу және оларды жою</t>
  </si>
  <si>
    <t>Мобилизационная подготовка и мобилизация областного масштаба</t>
  </si>
  <si>
    <t>Облыстық ауқымдағы жұмылдыру дайындығы және жұмылдыру</t>
  </si>
  <si>
    <t>Мероприятия в рамках исполнения всеобщей воинской обязанности</t>
  </si>
  <si>
    <t>Жалпыға бірдей әскери міндетті атқару шеңберіндегі іс-шаралар</t>
  </si>
  <si>
    <t>Услуги по реализации государственной политики на местном уровне в области мобилизационной подготовки, гражданской обороны, организации предупреждения и ликвидации аварий и стихийных бедствий</t>
  </si>
  <si>
    <t xml:space="preserve">Жергілікті деңгейде жұмылдыру дайындығы,  азаматтық қорғаныс, авариялар мен дүлей апаттардың алдын алуды және жоюды ұйымдастыру саласындағы мемлекеттік саясатты іске асыру жөніндегі қызметтер </t>
  </si>
  <si>
    <t>Управление по мобилизационной подготовке, гражданской обороне, организации предупреждения и ликвидации аварий и стихийных бедствий области</t>
  </si>
  <si>
    <t>Облыстың жұмылдыру дайындығы,  азаматтық қорғаныс, авариялар мен дүлей апаттардың алдын алуды және жоюды ұйымдастыру басқармасы</t>
  </si>
  <si>
    <t>Оборона</t>
  </si>
  <si>
    <t>Қорғаныс</t>
  </si>
  <si>
    <t>Услуги по реализации государственной политики в области формирования и развития экономической политики, системы государственного планирования и управления области</t>
  </si>
  <si>
    <t>Экономикалық саясатты, мемлекеттік жоспарлау жүйесін қалыптастыру мен дамыту және облысты баcқару саласындағы мемлекеттік саясатты іске асыру жөніндегі қызметтер</t>
  </si>
  <si>
    <t>Организация приватизации коммунальной собственности</t>
  </si>
  <si>
    <t>Коммуналдық меншікті жекешелендіруді ұйымдастыру</t>
  </si>
  <si>
    <t>Услуги по реализации государственной политики в области исполнения местного бюджета и управления коммунальной собственностью</t>
  </si>
  <si>
    <t>Жергілікті бюджетті атқару және коммуналдық меншікті басқару саласындағы мемлекеттік саясатты іске асыру жөніндегі қызметтер</t>
  </si>
  <si>
    <t>Организация деятельности центров обслуживания населения по предоставлению государственных услуг физическим и юридическим лицам по принципу «одного окна»</t>
  </si>
  <si>
    <t>Жеке және заңды тұлғаларға "жалғыз терезе" қағидаты бойынша мемлекеттік қызметтер көрсететін халыққа қызмет орталықтарының қызметін қамтамасыз ету</t>
  </si>
  <si>
    <t>Услуги по обеспечению деятельности акима области</t>
  </si>
  <si>
    <t xml:space="preserve">Облыс әкімнің қызметін қамтамасыз ету жөніндегі қызметтер  </t>
  </si>
  <si>
    <t>Аппарат акима области</t>
  </si>
  <si>
    <t>Облыс әкімінің аппараты</t>
  </si>
  <si>
    <t>Услуги по обеспечению деятельности маслихата области</t>
  </si>
  <si>
    <t xml:space="preserve">Облыс мәслихатының қызметін қамтамасыз ету жөніндегі қызметтер  </t>
  </si>
  <si>
    <t>Аппарат маслихата области</t>
  </si>
  <si>
    <t>Облыс мәслихатының аппараты</t>
  </si>
  <si>
    <t>Государственные услуги общего характера</t>
  </si>
  <si>
    <t xml:space="preserve">Жалпы сипаттағы мемлекеттiк қызметтер </t>
  </si>
  <si>
    <t>II.Затраты</t>
  </si>
  <si>
    <t>II. Шығындар</t>
  </si>
  <si>
    <t>Атауы</t>
  </si>
  <si>
    <t>корректировка в феврале</t>
  </si>
  <si>
    <t>Бюджет қаражаттарының пайдаланылатын қалдықтары</t>
  </si>
  <si>
    <t>Используемые остатки бюджетных средств</t>
  </si>
  <si>
    <t>Бюджет қаражаты қалдықтары</t>
  </si>
  <si>
    <t>Остатки бюджетных средств</t>
  </si>
  <si>
    <t>Бюджет қаражатының бос қалдықтары</t>
  </si>
  <si>
    <t>Свободные остатки бюджетных средств</t>
  </si>
  <si>
    <t>увеличить</t>
  </si>
  <si>
    <t>Возврат неиспользованных (недоиспользованных) целевых трансфертов</t>
  </si>
  <si>
    <t>Штрафы, пени, санкции, взыскания по бюджетным кредитам (займам), выданным из областного бюджета местным исполнительным органам районов (городов областного значения)</t>
  </si>
  <si>
    <t>уменьшить</t>
  </si>
  <si>
    <t>Уменьшить</t>
  </si>
  <si>
    <t>Увеличить</t>
  </si>
  <si>
    <t xml:space="preserve">Целевые текущие трансферты из республиканского бюджета бюджетам районов (городов областного значения) на увеличение размера доплаты за квалификационную категорию учителям школ и воспитателям дошкольных организаций образования </t>
  </si>
  <si>
    <t>Повышение квалификации, подготовка и переподготовка кадров в рамках реализации  Программы занятости 2020</t>
  </si>
  <si>
    <t>Целевые текущие трансферты из республиканского бюджета бюджетам районов (городов областного значения) на реализацию мероприятий  Программы занятости 2020</t>
  </si>
  <si>
    <t>Обучение предпринимательству участников Программы занятости 2020</t>
  </si>
  <si>
    <t>Целевые трансферты на развитие из республиканского бюджета бюджетам районов (городов областного значения) на развитие инженерно-коммуникационной инфраструктуры в рамках Программы занятости 2020</t>
  </si>
  <si>
    <t xml:space="preserve">Погашение кредиторской задолженности по
обязательствам организаций здравоохранения за
счет средств местного бюджета
</t>
  </si>
  <si>
    <t>Республикалық бюджеттен аудандық бюджеттерге (облыстық маңызы бар қалаларға) мектеп мұғалімдеріне және мектепке дейінгі ұйымдардың тәрбиешілеріне біліктілік санаты үшін қосымша ақының көлемін ұлғайтуға берілетін ағымдағы нысаналы трансферттер</t>
  </si>
  <si>
    <t>Жұмыспен қамту – 2020 бағдарламасын іске асыру шеңберінде кадрлардың біліктілігін арттыру, даярлау және қайта даярлау</t>
  </si>
  <si>
    <t>Жұмыспен қамту 2020 бағдарламасына қатысушыларды кәсіпкерлікке оқыту</t>
  </si>
  <si>
    <t>Жұмыспен қамту 2020 бағдарламасының іс-шараларын іске асыруға республикалық бюджеттен аудандардың (облыстық маңызы бар қалалардың) бюджеттеріне нысаналы ағымдағы трансферттері</t>
  </si>
  <si>
    <t>Жұмыспен қамту 2020 бағдарламасы шеңберінде инженерлік коммуникациялық инфрақұрылымдардың дамуына аудандардың (облыстық маңызы бар қалалардың) бюджеттеріне республикалық  бюджеттен нысаналы даму трансферттері</t>
  </si>
  <si>
    <t>Установление доплаты за организацию производственного обучения мастерам производственного обучения организаций технического и профессионального образования</t>
  </si>
  <si>
    <t>Приложение 1
к решению  Акмолинского областного маслихата          
№4С-29-2  от 10 декабря  2010 года</t>
  </si>
  <si>
    <t xml:space="preserve">Целевые трансферты на развитие бюджетам
районов (городов областного значения) на
развитие объектов спорта 
</t>
  </si>
  <si>
    <t>Жергiлiктi бюджет қаражаты есебiнен денсаулық сақтау ұйымдарының мiндеттемелерi бойынша кредиттiк қарызды өтеу</t>
  </si>
  <si>
    <t>Аудандар (облыстық маңызы бар қалалар) бюджеттерiне спорт объектiлерiн дамытуға берiлетiн нысаналы даму трансферттерi</t>
  </si>
  <si>
    <t xml:space="preserve">Өндірістік оқытуды ұйымдастыру үшін техникалық және кәсіптік білім беретін ұйымдардың өндірістік оқыту шеберлеріне қосымша ақыны белгілеуге </t>
  </si>
  <si>
    <t>Педагогикалық кадрлардың біліктілігін арттыру үшін оқу жабдығын сатып алу</t>
  </si>
  <si>
    <t xml:space="preserve">Централизованный закуп изделий и атрибутов
ветеринарного назначения для проведения
идентификации сельскохозяйственных животных,
ветеринарного паспорта на животное и их
транспортировка (доставка) местным
исполнительным органам районов (городов
областного значения)
</t>
  </si>
  <si>
    <t>Ауыл шаруашылығы жануарларын бiрдейлендiрудi жүргiзу үшiн ветеринариялық мақсаттағы бұйымдар мен атрибуттарды, жануарға арналған ветеринариялық паспортты орталықтандырып сатып алу және оларды аудандардың (облыстық маңызы бар қалалардың) жергiлiктi атқарушы органдарына тасымалдау (жеткiзу)</t>
  </si>
  <si>
    <t>Предоставление бюджетных кредитов для содействия развитию предпринимательства на селе в рамках Программы занятости 2020</t>
  </si>
  <si>
    <t>Жұмыспен қамту 2020 бағдарламасы шеңберінде ауылдағы  кәсіпкерліктің дамуына ықпал ету үшін бюджеттік кредиттер беру</t>
  </si>
  <si>
    <t>уточнение в марте</t>
  </si>
  <si>
    <t>Целевые текущие трансферты областным бюджетам,
бюджетам городов Астаны и Алматы в случаях
возникновения чрезвычайных ситуаций природного
и техногенного характера, угрожающих
политической, экономической и социальной
стабильности административно-территориальной
единицы, жизни и здоровью людей, проведения
мероприятий общереспубликанского либо
международного значения</t>
  </si>
  <si>
    <t>Облыстық бюджеттерге, Астана және Алматы қалаларының бюджеттерiне  әкiмшiлiк-аумақтық бiрлiктiң саяси, экономикалық және әлеуметтiк тұрақтылығына, адамдардың өмiрi мен денсаулығына қатер төндiретiн табиғи және техногендiк сипаттағы төтенше жағдайлар туындаған жағдайда жалпы республикалық немесе халықаралық маңызы бар iс-шаралар жүргiзуге  берiлетiн ағымдағы нысаналы трансферттер</t>
  </si>
  <si>
    <t>корректировка ЗКО и Цон</t>
  </si>
  <si>
    <t xml:space="preserve">Вознаграждения по бюджетным кредитам, выданным из
областного бюджета местным исполнительным органам
районов (городов областного значения)
</t>
  </si>
  <si>
    <t xml:space="preserve">Административные штрафы, пени, санкции, взыскания,
налагаемые департаментами внутренних дел областей,
города республиканского значения, столицы, их
территориальными подразделениями, финансируемыми из местного бюджета
</t>
  </si>
  <si>
    <t xml:space="preserve">Административные штрафы, пени, санкции, взыскания,
налагаемые управлениями государственного
архитектурно-строительного контроля областей, города
республиканского значения, столицы, их
территориальными подразделениями, финансируемыми из местного бюджета
</t>
  </si>
  <si>
    <t>07</t>
  </si>
  <si>
    <t xml:space="preserve">Регулирование земельных отношений </t>
  </si>
  <si>
    <t>Обезвреживание пестицидов (ядохимикатов)</t>
  </si>
  <si>
    <t>кокшетау</t>
  </si>
  <si>
    <t>015</t>
  </si>
  <si>
    <t>016</t>
  </si>
  <si>
    <t>Обслуживание долга местных исполнительных органов по выплате вознаграждений и иных платежей по займам из республиканского бюджета</t>
  </si>
  <si>
    <t>Обслуживание долга</t>
  </si>
  <si>
    <t>Жергiлiктi атқарушы органдардың республикалық бюджеттен қарыздар бойынша сыйақылар  мен өзге де төлемдердi төлеу бойынша борышына қызмет көрсету</t>
  </si>
  <si>
    <t>Пестицидтердi (улы химикаттарды) залалсыздандыру</t>
  </si>
  <si>
    <t>Қазақстан Республикасының «Саламатты Қазақстан» Денсаулық сақтауды дамытудың 2011-2013 жылдарға арналған мемлекеттiк бағдарламасы шеңберiнде бас бостандығынан айыру орындарында жазасын өтеп жатқан және босатылған адамдардың арасында АИТВ-жұқпасының алдын алуға арналған әлеуметтiк бағдарламаларды iске асыру</t>
  </si>
  <si>
    <t>Жер қатынастарын реттеу</t>
  </si>
  <si>
    <t>Борышқа қызмет көрсету</t>
  </si>
  <si>
    <t xml:space="preserve">Развитие объектов органов внутренних дел </t>
  </si>
  <si>
    <t>Iшкi iстер органдарының объектiлерiн дамыту</t>
  </si>
  <si>
    <t xml:space="preserve">Реализация социальных проектов на профилактику
ВИЧ-инфекции среди лиц находящихся и
освободившихся из мест лишения свободы в рамках
Государственной программы "Саламатты Қазақстан"
на 2011-2015 годы
</t>
  </si>
  <si>
    <t>Сумма</t>
  </si>
  <si>
    <t xml:space="preserve">Категория </t>
  </si>
  <si>
    <t>Класс</t>
  </si>
  <si>
    <t>Подкласс</t>
  </si>
  <si>
    <t>Функциональная группа</t>
  </si>
  <si>
    <t>Администратор бюджетных программ</t>
  </si>
  <si>
    <t>Программа</t>
  </si>
  <si>
    <t>Приложение 1
к решению  Акмолинского областного маслихата          
№4С-33-5 от 10 июня 2011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</si>
</sst>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_(* #,##0_);_(* \(#,##0\);_(* &quot;-&quot;_);_(@_)"/>
    <numFmt numFmtId="168" formatCode="_(* #,##0.00_);_(* \(#,##0.00\);_(* &quot;-&quot;??_);_(@_)"/>
    <numFmt numFmtId="169" formatCode="000;"/>
    <numFmt numFmtId="170" formatCode="\€#,##0;&quot;-€&quot;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KZ Times New Roman"/>
      <family val="1"/>
    </font>
    <font>
      <b/>
      <sz val="12"/>
      <name val="KZ Times New Roman"/>
      <family val="1"/>
    </font>
    <font>
      <sz val="10"/>
      <name val="KZ Times New Roman"/>
      <family val="1"/>
    </font>
    <font>
      <sz val="12"/>
      <color indexed="9"/>
      <name val="KZ 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56"/>
      <name val="Times New Roman"/>
      <family val="1"/>
    </font>
    <font>
      <b/>
      <sz val="14"/>
      <color indexed="60"/>
      <name val="Times New Roman"/>
      <family val="1"/>
    </font>
    <font>
      <sz val="14"/>
      <color indexed="10"/>
      <name val="Times New Roman"/>
      <family val="1"/>
    </font>
    <font>
      <sz val="14"/>
      <color indexed="60"/>
      <name val="Times New Roman"/>
      <family val="1"/>
    </font>
    <font>
      <b/>
      <sz val="14"/>
      <color indexed="10"/>
      <name val="Times New Roman"/>
      <family val="1"/>
    </font>
    <font>
      <sz val="7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rgb="FF00206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rgb="FFC00000"/>
      <name val="Times New Roman"/>
      <family val="1"/>
    </font>
    <font>
      <sz val="14"/>
      <color rgb="FFFF0000"/>
      <name val="Times New Roman"/>
      <family val="1"/>
    </font>
    <font>
      <sz val="14"/>
      <color rgb="FFC0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i/>
      <sz val="11"/>
      <color theme="1"/>
      <name val="Times New Roman"/>
      <family val="1"/>
    </font>
    <font>
      <sz val="7"/>
      <color rgb="FFFF0000"/>
      <name val="Times New Roman"/>
      <family val="1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13" fillId="0" borderId="1">
      <alignment horizontal="right" vertical="top" wrapText="1"/>
      <protection/>
    </xf>
    <xf numFmtId="0" fontId="13" fillId="0" borderId="1">
      <alignment horizontal="left" vertical="top" wrapText="1"/>
      <protection/>
    </xf>
    <xf numFmtId="1" fontId="13" fillId="0" borderId="0">
      <alignment horizontal="center" vertical="top" wrapText="1"/>
      <protection/>
    </xf>
    <xf numFmtId="165" fontId="13" fillId="0" borderId="1">
      <alignment horizontal="center" vertical="top" wrapText="1"/>
      <protection/>
    </xf>
    <xf numFmtId="1" fontId="13" fillId="0" borderId="1">
      <alignment horizontal="center" vertical="top" wrapText="1"/>
      <protection/>
    </xf>
    <xf numFmtId="165" fontId="13" fillId="0" borderId="1">
      <alignment horizontal="center" vertical="top" wrapText="1"/>
      <protection/>
    </xf>
    <xf numFmtId="0" fontId="14" fillId="2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3" fillId="0" borderId="1">
      <alignment horizontal="left" vertical="top" wrapText="1"/>
      <protection/>
    </xf>
    <xf numFmtId="0" fontId="15" fillId="0" borderId="1">
      <alignment horizontal="left" vertical="top" wrapText="1"/>
      <protection/>
    </xf>
    <xf numFmtId="1" fontId="16" fillId="0" borderId="0">
      <alignment horizontal="center" vertical="top" wrapText="1"/>
      <protection/>
    </xf>
    <xf numFmtId="165" fontId="16" fillId="0" borderId="1">
      <alignment horizontal="center" vertical="top" wrapText="1"/>
      <protection/>
    </xf>
    <xf numFmtId="1" fontId="16" fillId="0" borderId="1">
      <alignment horizontal="center" vertical="top" wrapText="1"/>
      <protection/>
    </xf>
    <xf numFmtId="165" fontId="16" fillId="0" borderId="1">
      <alignment horizontal="center" vertical="top" wrapText="1"/>
      <protection/>
    </xf>
    <xf numFmtId="166" fontId="16" fillId="0" borderId="1">
      <alignment horizontal="center" vertical="top" wrapText="1"/>
      <protection/>
    </xf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2" applyNumberFormat="0" applyAlignment="0" applyProtection="0"/>
    <xf numFmtId="0" fontId="55" fillId="28" borderId="3" applyNumberFormat="0" applyAlignment="0" applyProtection="0"/>
    <xf numFmtId="0" fontId="56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9" borderId="8" applyNumberFormat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17" fillId="0" borderId="0">
      <alignment/>
      <protection/>
    </xf>
    <xf numFmtId="0" fontId="67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8" fillId="0" borderId="0" applyFill="0" applyBorder="0" applyAlignment="0" applyProtection="0"/>
    <xf numFmtId="0" fontId="68" fillId="33" borderId="0" applyNumberFormat="0" applyBorder="0" applyAlignment="0" applyProtection="0"/>
  </cellStyleXfs>
  <cellXfs count="268">
    <xf numFmtId="0" fontId="0" fillId="0" borderId="0" xfId="0" applyFont="1" applyAlignment="1">
      <alignment/>
    </xf>
    <xf numFmtId="0" fontId="3" fillId="0" borderId="0" xfId="74" applyFont="1" applyAlignment="1">
      <alignment vertical="center"/>
      <protection/>
    </xf>
    <xf numFmtId="49" fontId="3" fillId="0" borderId="0" xfId="74" applyNumberFormat="1" applyFont="1" applyAlignment="1">
      <alignment vertical="center"/>
      <protection/>
    </xf>
    <xf numFmtId="3" fontId="4" fillId="0" borderId="11" xfId="74" applyNumberFormat="1" applyFont="1" applyBorder="1" applyAlignment="1">
      <alignment vertical="center"/>
      <protection/>
    </xf>
    <xf numFmtId="0" fontId="4" fillId="0" borderId="11" xfId="74" applyFont="1" applyBorder="1" applyAlignment="1">
      <alignment vertical="center" wrapText="1"/>
      <protection/>
    </xf>
    <xf numFmtId="49" fontId="4" fillId="0" borderId="11" xfId="74" applyNumberFormat="1" applyFont="1" applyBorder="1" applyAlignment="1">
      <alignment horizontal="right" vertical="center"/>
      <protection/>
    </xf>
    <xf numFmtId="49" fontId="4" fillId="0" borderId="11" xfId="74" applyNumberFormat="1" applyFont="1" applyBorder="1" applyAlignment="1">
      <alignment horizontal="left" vertical="center"/>
      <protection/>
    </xf>
    <xf numFmtId="3" fontId="4" fillId="34" borderId="11" xfId="74" applyNumberFormat="1" applyFont="1" applyFill="1" applyBorder="1" applyAlignment="1">
      <alignment vertical="center"/>
      <protection/>
    </xf>
    <xf numFmtId="0" fontId="4" fillId="34" borderId="11" xfId="74" applyFont="1" applyFill="1" applyBorder="1" applyAlignment="1">
      <alignment vertical="center" wrapText="1"/>
      <protection/>
    </xf>
    <xf numFmtId="49" fontId="4" fillId="34" borderId="11" xfId="74" applyNumberFormat="1" applyFont="1" applyFill="1" applyBorder="1" applyAlignment="1">
      <alignment vertical="center"/>
      <protection/>
    </xf>
    <xf numFmtId="49" fontId="4" fillId="34" borderId="11" xfId="74" applyNumberFormat="1" applyFont="1" applyFill="1" applyBorder="1" applyAlignment="1">
      <alignment horizontal="right" vertical="center"/>
      <protection/>
    </xf>
    <xf numFmtId="3" fontId="4" fillId="35" borderId="11" xfId="74" applyNumberFormat="1" applyFont="1" applyFill="1" applyBorder="1" applyAlignment="1">
      <alignment vertical="center"/>
      <protection/>
    </xf>
    <xf numFmtId="0" fontId="4" fillId="35" borderId="11" xfId="74" applyFont="1" applyFill="1" applyBorder="1" applyAlignment="1">
      <alignment vertical="center" wrapText="1"/>
      <protection/>
    </xf>
    <xf numFmtId="49" fontId="4" fillId="35" borderId="11" xfId="74" applyNumberFormat="1" applyFont="1" applyFill="1" applyBorder="1" applyAlignment="1">
      <alignment vertical="center" wrapText="1"/>
      <protection/>
    </xf>
    <xf numFmtId="49" fontId="4" fillId="35" borderId="11" xfId="74" applyNumberFormat="1" applyFont="1" applyFill="1" applyBorder="1" applyAlignment="1">
      <alignment horizontal="right" vertical="center"/>
      <protection/>
    </xf>
    <xf numFmtId="49" fontId="4" fillId="0" borderId="11" xfId="74" applyNumberFormat="1" applyFont="1" applyBorder="1" applyAlignment="1">
      <alignment vertical="center" wrapText="1"/>
      <protection/>
    </xf>
    <xf numFmtId="3" fontId="4" fillId="0" borderId="11" xfId="74" applyNumberFormat="1" applyFont="1" applyFill="1" applyBorder="1" applyAlignment="1">
      <alignment vertical="center"/>
      <protection/>
    </xf>
    <xf numFmtId="49" fontId="4" fillId="0" borderId="11" xfId="74" applyNumberFormat="1" applyFont="1" applyBorder="1" applyAlignment="1">
      <alignment vertical="center"/>
      <protection/>
    </xf>
    <xf numFmtId="3" fontId="5" fillId="36" borderId="11" xfId="74" applyNumberFormat="1" applyFont="1" applyFill="1" applyBorder="1" applyAlignment="1">
      <alignment vertical="center"/>
      <protection/>
    </xf>
    <xf numFmtId="0" fontId="5" fillId="36" borderId="11" xfId="74" applyFont="1" applyFill="1" applyBorder="1" applyAlignment="1">
      <alignment vertical="center" wrapText="1"/>
      <protection/>
    </xf>
    <xf numFmtId="49" fontId="5" fillId="36" borderId="11" xfId="74" applyNumberFormat="1" applyFont="1" applyFill="1" applyBorder="1" applyAlignment="1">
      <alignment vertical="center"/>
      <protection/>
    </xf>
    <xf numFmtId="49" fontId="5" fillId="36" borderId="11" xfId="74" applyNumberFormat="1" applyFont="1" applyFill="1" applyBorder="1" applyAlignment="1">
      <alignment horizontal="right" vertical="center"/>
      <protection/>
    </xf>
    <xf numFmtId="0" fontId="4" fillId="0" borderId="11" xfId="74" applyFont="1" applyFill="1" applyBorder="1" applyAlignment="1">
      <alignment vertical="center" wrapText="1"/>
      <protection/>
    </xf>
    <xf numFmtId="49" fontId="4" fillId="0" borderId="11" xfId="74" applyNumberFormat="1" applyFont="1" applyFill="1" applyBorder="1" applyAlignment="1">
      <alignment horizontal="right" vertical="center"/>
      <protection/>
    </xf>
    <xf numFmtId="49" fontId="4" fillId="34" borderId="11" xfId="74" applyNumberFormat="1" applyFont="1" applyFill="1" applyBorder="1" applyAlignment="1">
      <alignment vertical="center" wrapText="1"/>
      <protection/>
    </xf>
    <xf numFmtId="49" fontId="5" fillId="36" borderId="11" xfId="74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 vertical="center" wrapText="1"/>
    </xf>
    <xf numFmtId="0" fontId="4" fillId="37" borderId="11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49" fontId="4" fillId="0" borderId="11" xfId="74" applyNumberFormat="1" applyFont="1" applyFill="1" applyBorder="1" applyAlignment="1">
      <alignment vertical="center" wrapText="1"/>
      <protection/>
    </xf>
    <xf numFmtId="0" fontId="4" fillId="0" borderId="11" xfId="0" applyFont="1" applyBorder="1" applyAlignment="1">
      <alignment wrapText="1"/>
    </xf>
    <xf numFmtId="0" fontId="3" fillId="0" borderId="0" xfId="74" applyFont="1" applyFill="1" applyAlignment="1">
      <alignment vertical="center" wrapText="1"/>
      <protection/>
    </xf>
    <xf numFmtId="3" fontId="4" fillId="0" borderId="11" xfId="74" applyNumberFormat="1" applyFont="1" applyFill="1" applyBorder="1" applyAlignment="1">
      <alignment vertical="center" wrapText="1"/>
      <protection/>
    </xf>
    <xf numFmtId="49" fontId="4" fillId="0" borderId="11" xfId="74" applyNumberFormat="1" applyFont="1" applyFill="1" applyBorder="1" applyAlignment="1">
      <alignment horizontal="right" vertical="center" wrapText="1"/>
      <protection/>
    </xf>
    <xf numFmtId="0" fontId="6" fillId="0" borderId="0" xfId="74" applyFont="1" applyAlignment="1">
      <alignment vertical="center"/>
      <protection/>
    </xf>
    <xf numFmtId="0" fontId="4" fillId="0" borderId="11" xfId="0" applyFont="1" applyBorder="1" applyAlignment="1">
      <alignment horizontal="left" vertical="center" wrapText="1"/>
    </xf>
    <xf numFmtId="49" fontId="4" fillId="35" borderId="11" xfId="74" applyNumberFormat="1" applyFont="1" applyFill="1" applyBorder="1" applyAlignment="1">
      <alignment vertical="center"/>
      <protection/>
    </xf>
    <xf numFmtId="3" fontId="5" fillId="13" borderId="11" xfId="0" applyNumberFormat="1" applyFont="1" applyFill="1" applyBorder="1" applyAlignment="1">
      <alignment horizontal="right" vertical="center" wrapText="1"/>
    </xf>
    <xf numFmtId="0" fontId="5" fillId="13" borderId="11" xfId="0" applyFont="1" applyFill="1" applyBorder="1" applyAlignment="1">
      <alignment horizontal="left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7" fillId="0" borderId="0" xfId="74" applyFont="1" applyAlignment="1">
      <alignment vertical="center"/>
      <protection/>
    </xf>
    <xf numFmtId="0" fontId="7" fillId="0" borderId="11" xfId="74" applyFont="1" applyBorder="1" applyAlignment="1">
      <alignment horizontal="center" vertical="center"/>
      <protection/>
    </xf>
    <xf numFmtId="0" fontId="6" fillId="0" borderId="11" xfId="74" applyFont="1" applyFill="1" applyBorder="1" applyAlignment="1" applyProtection="1">
      <alignment horizontal="center" vertical="center" wrapText="1"/>
      <protection/>
    </xf>
    <xf numFmtId="0" fontId="7" fillId="0" borderId="11" xfId="74" applyFont="1" applyFill="1" applyBorder="1" applyAlignment="1" applyProtection="1">
      <alignment horizontal="center" vertical="center" wrapText="1"/>
      <protection/>
    </xf>
    <xf numFmtId="49" fontId="7" fillId="0" borderId="11" xfId="74" applyNumberFormat="1" applyFont="1" applyBorder="1" applyAlignment="1">
      <alignment horizontal="center" vertical="center"/>
      <protection/>
    </xf>
    <xf numFmtId="49" fontId="6" fillId="0" borderId="11" xfId="74" applyNumberFormat="1" applyFont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 textRotation="90" wrapText="1"/>
    </xf>
    <xf numFmtId="0" fontId="6" fillId="0" borderId="11" xfId="0" applyFont="1" applyBorder="1" applyAlignment="1">
      <alignment horizontal="center" vertical="center"/>
    </xf>
    <xf numFmtId="0" fontId="9" fillId="0" borderId="0" xfId="74" applyFont="1" applyAlignment="1">
      <alignment vertical="center"/>
      <protection/>
    </xf>
    <xf numFmtId="49" fontId="3" fillId="0" borderId="12" xfId="74" applyNumberFormat="1" applyFont="1" applyBorder="1" applyAlignment="1">
      <alignment vertical="center" wrapText="1"/>
      <protection/>
    </xf>
    <xf numFmtId="164" fontId="3" fillId="0" borderId="0" xfId="74" applyNumberFormat="1" applyFont="1" applyAlignment="1">
      <alignment vertical="center"/>
      <protection/>
    </xf>
    <xf numFmtId="0" fontId="4" fillId="0" borderId="0" xfId="74" applyFont="1" applyAlignment="1">
      <alignment horizontal="center" vertical="center" wrapText="1"/>
      <protection/>
    </xf>
    <xf numFmtId="49" fontId="4" fillId="0" borderId="0" xfId="74" applyNumberFormat="1" applyFont="1" applyAlignment="1">
      <alignment horizontal="center" vertical="center" wrapText="1"/>
      <protection/>
    </xf>
    <xf numFmtId="0" fontId="69" fillId="0" borderId="0" xfId="0" applyFont="1" applyAlignment="1">
      <alignment vertical="center"/>
    </xf>
    <xf numFmtId="164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3" fontId="69" fillId="0" borderId="0" xfId="0" applyNumberFormat="1" applyFont="1" applyAlignment="1">
      <alignment vertical="center"/>
    </xf>
    <xf numFmtId="3" fontId="19" fillId="0" borderId="0" xfId="0" applyNumberFormat="1" applyFont="1" applyAlignment="1">
      <alignment vertical="center"/>
    </xf>
    <xf numFmtId="3" fontId="70" fillId="0" borderId="11" xfId="0" applyNumberFormat="1" applyFont="1" applyBorder="1" applyAlignment="1">
      <alignment vertical="center"/>
    </xf>
    <xf numFmtId="3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3" fontId="4" fillId="35" borderId="11" xfId="0" applyNumberFormat="1" applyFont="1" applyFill="1" applyBorder="1" applyAlignment="1" applyProtection="1">
      <alignment vertical="center" wrapText="1"/>
      <protection locked="0"/>
    </xf>
    <xf numFmtId="0" fontId="4" fillId="35" borderId="11" xfId="0" applyNumberFormat="1" applyFont="1" applyFill="1" applyBorder="1" applyAlignment="1" applyProtection="1">
      <alignment vertical="center" wrapText="1"/>
      <protection locked="0"/>
    </xf>
    <xf numFmtId="0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3" fontId="5" fillId="39" borderId="11" xfId="0" applyNumberFormat="1" applyFont="1" applyFill="1" applyBorder="1" applyAlignment="1" applyProtection="1">
      <alignment vertical="center" wrapText="1"/>
      <protection locked="0"/>
    </xf>
    <xf numFmtId="0" fontId="5" fillId="39" borderId="11" xfId="0" applyNumberFormat="1" applyFont="1" applyFill="1" applyBorder="1" applyAlignment="1" applyProtection="1">
      <alignment vertical="center" wrapText="1"/>
      <protection locked="0"/>
    </xf>
    <xf numFmtId="0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39" borderId="1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vertical="center"/>
    </xf>
    <xf numFmtId="3" fontId="21" fillId="40" borderId="11" xfId="0" applyNumberFormat="1" applyFont="1" applyFill="1" applyBorder="1" applyAlignment="1" applyProtection="1">
      <alignment vertical="center" wrapText="1"/>
      <protection locked="0"/>
    </xf>
    <xf numFmtId="0" fontId="21" fillId="40" borderId="11" xfId="0" applyNumberFormat="1" applyFont="1" applyFill="1" applyBorder="1" applyAlignment="1" applyProtection="1">
      <alignment horizontal="left" vertical="center" wrapText="1"/>
      <protection locked="0"/>
    </xf>
    <xf numFmtId="0" fontId="22" fillId="40" borderId="11" xfId="0" applyFont="1" applyFill="1" applyBorder="1" applyAlignment="1" applyProtection="1">
      <alignment horizontal="center" vertical="center"/>
      <protection/>
    </xf>
    <xf numFmtId="0" fontId="22" fillId="40" borderId="13" xfId="0" applyFont="1" applyFill="1" applyBorder="1" applyAlignment="1" applyProtection="1">
      <alignment horizontal="center" vertical="center"/>
      <protection/>
    </xf>
    <xf numFmtId="0" fontId="69" fillId="0" borderId="0" xfId="0" applyFont="1" applyFill="1" applyAlignment="1">
      <alignment vertical="center"/>
    </xf>
    <xf numFmtId="3" fontId="4" fillId="0" borderId="11" xfId="0" applyNumberFormat="1" applyFont="1" applyFill="1" applyBorder="1" applyAlignment="1" applyProtection="1">
      <alignment vertical="center" wrapText="1"/>
      <protection locked="0"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49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9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9" borderId="13" xfId="0" applyNumberFormat="1" applyFont="1" applyFill="1" applyBorder="1" applyAlignment="1" applyProtection="1">
      <alignment horizontal="center" vertical="center" wrapText="1"/>
      <protection locked="0"/>
    </xf>
    <xf numFmtId="3" fontId="23" fillId="41" borderId="11" xfId="0" applyNumberFormat="1" applyFont="1" applyFill="1" applyBorder="1" applyAlignment="1">
      <alignment horizontal="right" vertical="center" wrapText="1"/>
    </xf>
    <xf numFmtId="0" fontId="23" fillId="41" borderId="11" xfId="0" applyFont="1" applyFill="1" applyBorder="1" applyAlignment="1">
      <alignment horizontal="left" vertical="center" wrapText="1"/>
    </xf>
    <xf numFmtId="0" fontId="23" fillId="41" borderId="11" xfId="0" applyFont="1" applyFill="1" applyBorder="1" applyAlignment="1">
      <alignment horizontal="center" vertical="center" wrapText="1"/>
    </xf>
    <xf numFmtId="0" fontId="24" fillId="41" borderId="11" xfId="0" applyFont="1" applyFill="1" applyBorder="1" applyAlignment="1">
      <alignment horizontal="center" vertical="center" wrapText="1"/>
    </xf>
    <xf numFmtId="3" fontId="24" fillId="0" borderId="11" xfId="0" applyNumberFormat="1" applyFont="1" applyBorder="1" applyAlignment="1">
      <alignment horizontal="right" vertical="center"/>
    </xf>
    <xf numFmtId="0" fontId="69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169" fontId="23" fillId="0" borderId="0" xfId="0" applyNumberFormat="1" applyFont="1" applyFill="1" applyBorder="1" applyAlignment="1">
      <alignment vertical="center"/>
    </xf>
    <xf numFmtId="3" fontId="23" fillId="42" borderId="11" xfId="0" applyNumberFormat="1" applyFont="1" applyFill="1" applyBorder="1" applyAlignment="1">
      <alignment vertical="center"/>
    </xf>
    <xf numFmtId="3" fontId="23" fillId="43" borderId="11" xfId="0" applyNumberFormat="1" applyFont="1" applyFill="1" applyBorder="1" applyAlignment="1">
      <alignment vertical="center"/>
    </xf>
    <xf numFmtId="0" fontId="23" fillId="43" borderId="11" xfId="0" applyFont="1" applyFill="1" applyBorder="1" applyAlignment="1">
      <alignment vertical="center" wrapText="1"/>
    </xf>
    <xf numFmtId="169" fontId="23" fillId="43" borderId="11" xfId="0" applyNumberFormat="1" applyFont="1" applyFill="1" applyBorder="1" applyAlignment="1">
      <alignment horizontal="center" vertical="center"/>
    </xf>
    <xf numFmtId="0" fontId="24" fillId="43" borderId="11" xfId="0" applyFont="1" applyFill="1" applyBorder="1" applyAlignment="1">
      <alignment horizontal="center" vertical="center"/>
    </xf>
    <xf numFmtId="0" fontId="23" fillId="43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vertical="center" wrapText="1"/>
    </xf>
    <xf numFmtId="169" fontId="24" fillId="0" borderId="11" xfId="0" applyNumberFormat="1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vertical="center" wrapText="1"/>
    </xf>
    <xf numFmtId="169" fontId="23" fillId="42" borderId="11" xfId="0" applyNumberFormat="1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center" vertical="center"/>
    </xf>
    <xf numFmtId="0" fontId="23" fillId="42" borderId="11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3" fontId="5" fillId="4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40" borderId="11" xfId="0" applyNumberFormat="1" applyFont="1" applyFill="1" applyBorder="1" applyAlignment="1" applyProtection="1">
      <alignment horizontal="left" vertical="center" wrapText="1"/>
      <protection/>
    </xf>
    <xf numFmtId="166" fontId="5" fillId="40" borderId="11" xfId="0" applyNumberFormat="1" applyFont="1" applyFill="1" applyBorder="1" applyAlignment="1" applyProtection="1">
      <alignment horizontal="center" vertical="center" wrapText="1"/>
      <protection/>
    </xf>
    <xf numFmtId="166" fontId="4" fillId="40" borderId="11" xfId="0" applyNumberFormat="1" applyFont="1" applyFill="1" applyBorder="1" applyAlignment="1" applyProtection="1">
      <alignment horizontal="center" vertical="center" wrapText="1"/>
      <protection/>
    </xf>
    <xf numFmtId="49" fontId="24" fillId="0" borderId="11" xfId="0" applyNumberFormat="1" applyFont="1" applyFill="1" applyBorder="1" applyAlignment="1">
      <alignment horizontal="center" vertical="center"/>
    </xf>
    <xf numFmtId="49" fontId="23" fillId="43" borderId="11" xfId="0" applyNumberFormat="1" applyFont="1" applyFill="1" applyBorder="1" applyAlignment="1">
      <alignment horizontal="center" vertical="center"/>
    </xf>
    <xf numFmtId="49" fontId="24" fillId="43" borderId="11" xfId="0" applyNumberFormat="1" applyFont="1" applyFill="1" applyBorder="1" applyAlignment="1">
      <alignment horizontal="center" vertical="center"/>
    </xf>
    <xf numFmtId="3" fontId="71" fillId="0" borderId="11" xfId="0" applyNumberFormat="1" applyFont="1" applyBorder="1" applyAlignment="1">
      <alignment vertical="center"/>
    </xf>
    <xf numFmtId="0" fontId="71" fillId="0" borderId="11" xfId="0" applyFont="1" applyBorder="1" applyAlignment="1">
      <alignment vertical="center" wrapText="1"/>
    </xf>
    <xf numFmtId="169" fontId="71" fillId="0" borderId="11" xfId="0" applyNumberFormat="1" applyFont="1" applyBorder="1" applyAlignment="1">
      <alignment horizontal="center" vertical="center"/>
    </xf>
    <xf numFmtId="0" fontId="71" fillId="0" borderId="11" xfId="0" applyFont="1" applyBorder="1" applyAlignment="1">
      <alignment horizontal="center" vertical="center"/>
    </xf>
    <xf numFmtId="3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3" fontId="21" fillId="40" borderId="11" xfId="0" applyNumberFormat="1" applyFont="1" applyFill="1" applyBorder="1" applyAlignment="1" applyProtection="1">
      <alignment horizontal="right" vertical="center" wrapText="1"/>
      <protection locked="0"/>
    </xf>
    <xf numFmtId="0" fontId="21" fillId="40" borderId="11" xfId="0" applyNumberFormat="1" applyFont="1" applyFill="1" applyBorder="1" applyAlignment="1" applyProtection="1">
      <alignment horizontal="left" vertical="center" wrapText="1"/>
      <protection/>
    </xf>
    <xf numFmtId="166" fontId="21" fillId="40" borderId="11" xfId="0" applyNumberFormat="1" applyFont="1" applyFill="1" applyBorder="1" applyAlignment="1" applyProtection="1">
      <alignment horizontal="center" vertical="center" wrapText="1"/>
      <protection/>
    </xf>
    <xf numFmtId="166" fontId="22" fillId="40" borderId="1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3" fontId="72" fillId="5" borderId="11" xfId="0" applyNumberFormat="1" applyFont="1" applyFill="1" applyBorder="1" applyAlignment="1">
      <alignment vertical="center"/>
    </xf>
    <xf numFmtId="0" fontId="72" fillId="5" borderId="11" xfId="0" applyFont="1" applyFill="1" applyBorder="1" applyAlignment="1">
      <alignment vertical="center" wrapText="1"/>
    </xf>
    <xf numFmtId="169" fontId="72" fillId="5" borderId="11" xfId="0" applyNumberFormat="1" applyFont="1" applyFill="1" applyBorder="1" applyAlignment="1">
      <alignment horizontal="center" vertical="center"/>
    </xf>
    <xf numFmtId="0" fontId="72" fillId="5" borderId="11" xfId="0" applyFont="1" applyFill="1" applyBorder="1" applyAlignment="1">
      <alignment horizontal="center" vertical="center"/>
    </xf>
    <xf numFmtId="169" fontId="4" fillId="0" borderId="11" xfId="0" applyNumberFormat="1" applyFont="1" applyFill="1" applyBorder="1" applyAlignment="1">
      <alignment vertical="center"/>
    </xf>
    <xf numFmtId="3" fontId="72" fillId="5" borderId="11" xfId="0" applyNumberFormat="1" applyFont="1" applyFill="1" applyBorder="1" applyAlignment="1">
      <alignment vertical="center" wrapText="1"/>
    </xf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169" fontId="27" fillId="0" borderId="11" xfId="0" applyNumberFormat="1" applyFont="1" applyFill="1" applyBorder="1" applyAlignment="1">
      <alignment horizontal="center" vertical="center" textRotation="90" wrapText="1"/>
    </xf>
    <xf numFmtId="0" fontId="27" fillId="0" borderId="11" xfId="0" applyFont="1" applyFill="1" applyBorder="1" applyAlignment="1">
      <alignment horizontal="center" vertical="center" textRotation="90" wrapText="1"/>
    </xf>
    <xf numFmtId="0" fontId="24" fillId="0" borderId="11" xfId="0" applyFont="1" applyBorder="1" applyAlignment="1">
      <alignment vertical="center"/>
    </xf>
    <xf numFmtId="169" fontId="24" fillId="0" borderId="11" xfId="0" applyNumberFormat="1" applyFont="1" applyBorder="1" applyAlignment="1">
      <alignment vertical="top"/>
    </xf>
    <xf numFmtId="169" fontId="24" fillId="0" borderId="11" xfId="0" applyNumberFormat="1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164" fontId="24" fillId="0" borderId="11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164" fontId="70" fillId="0" borderId="11" xfId="0" applyNumberFormat="1" applyFont="1" applyBorder="1" applyAlignment="1">
      <alignment vertical="center"/>
    </xf>
    <xf numFmtId="164" fontId="23" fillId="41" borderId="11" xfId="0" applyNumberFormat="1" applyFont="1" applyFill="1" applyBorder="1" applyAlignment="1">
      <alignment horizontal="right" vertical="center" wrapText="1"/>
    </xf>
    <xf numFmtId="164" fontId="5" fillId="13" borderId="11" xfId="0" applyNumberFormat="1" applyFont="1" applyFill="1" applyBorder="1" applyAlignment="1">
      <alignment horizontal="right" vertical="center" wrapText="1"/>
    </xf>
    <xf numFmtId="164" fontId="70" fillId="0" borderId="11" xfId="74" applyNumberFormat="1" applyFont="1" applyBorder="1" applyAlignment="1">
      <alignment vertical="center"/>
      <protection/>
    </xf>
    <xf numFmtId="164" fontId="73" fillId="36" borderId="11" xfId="74" applyNumberFormat="1" applyFont="1" applyFill="1" applyBorder="1" applyAlignment="1">
      <alignment vertical="center"/>
      <protection/>
    </xf>
    <xf numFmtId="164" fontId="72" fillId="5" borderId="11" xfId="0" applyNumberFormat="1" applyFont="1" applyFill="1" applyBorder="1" applyAlignment="1">
      <alignment vertical="center" wrapText="1"/>
    </xf>
    <xf numFmtId="164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164" fontId="72" fillId="5" borderId="11" xfId="0" applyNumberFormat="1" applyFont="1" applyFill="1" applyBorder="1" applyAlignment="1">
      <alignment vertical="center"/>
    </xf>
    <xf numFmtId="164" fontId="70" fillId="44" borderId="11" xfId="0" applyNumberFormat="1" applyFont="1" applyFill="1" applyBorder="1" applyAlignment="1">
      <alignment vertical="center"/>
    </xf>
    <xf numFmtId="164" fontId="69" fillId="0" borderId="0" xfId="0" applyNumberFormat="1" applyFont="1" applyAlignment="1">
      <alignment vertical="center"/>
    </xf>
    <xf numFmtId="164" fontId="21" fillId="40" borderId="11" xfId="0" applyNumberFormat="1" applyFont="1" applyFill="1" applyBorder="1" applyAlignment="1" applyProtection="1">
      <alignment horizontal="right" vertical="center" wrapText="1"/>
      <protection locked="0"/>
    </xf>
    <xf numFmtId="164" fontId="23" fillId="42" borderId="11" xfId="0" applyNumberFormat="1" applyFont="1" applyFill="1" applyBorder="1" applyAlignment="1">
      <alignment vertical="center"/>
    </xf>
    <xf numFmtId="164" fontId="4" fillId="35" borderId="11" xfId="0" applyNumberFormat="1" applyFont="1" applyFill="1" applyBorder="1" applyAlignment="1" applyProtection="1">
      <alignment vertical="center" wrapText="1"/>
      <protection locked="0"/>
    </xf>
    <xf numFmtId="164" fontId="5" fillId="40" borderId="11" xfId="0" applyNumberFormat="1" applyFont="1" applyFill="1" applyBorder="1" applyAlignment="1" applyProtection="1">
      <alignment horizontal="right" vertical="center" wrapText="1"/>
      <protection locked="0"/>
    </xf>
    <xf numFmtId="164" fontId="23" fillId="43" borderId="11" xfId="0" applyNumberFormat="1" applyFont="1" applyFill="1" applyBorder="1" applyAlignment="1">
      <alignment vertical="center"/>
    </xf>
    <xf numFmtId="164" fontId="21" fillId="40" borderId="11" xfId="0" applyNumberFormat="1" applyFont="1" applyFill="1" applyBorder="1" applyAlignment="1" applyProtection="1">
      <alignment vertical="center" wrapText="1"/>
      <protection locked="0"/>
    </xf>
    <xf numFmtId="164" fontId="5" fillId="39" borderId="11" xfId="0" applyNumberFormat="1" applyFont="1" applyFill="1" applyBorder="1" applyAlignment="1" applyProtection="1">
      <alignment vertical="center" wrapText="1"/>
      <protection locked="0"/>
    </xf>
    <xf numFmtId="49" fontId="4" fillId="10" borderId="11" xfId="0" applyNumberFormat="1" applyFont="1" applyFill="1" applyBorder="1" applyAlignment="1" applyProtection="1">
      <alignment horizontal="center" vertical="center" wrapText="1"/>
      <protection locked="0"/>
    </xf>
    <xf numFmtId="164" fontId="70" fillId="10" borderId="11" xfId="0" applyNumberFormat="1" applyFont="1" applyFill="1" applyBorder="1" applyAlignment="1">
      <alignment vertical="center"/>
    </xf>
    <xf numFmtId="0" fontId="74" fillId="45" borderId="11" xfId="0" applyFont="1" applyFill="1" applyBorder="1" applyAlignment="1">
      <alignment vertical="center" wrapText="1"/>
    </xf>
    <xf numFmtId="164" fontId="4" fillId="0" borderId="11" xfId="74" applyNumberFormat="1" applyFont="1" applyFill="1" applyBorder="1" applyAlignment="1">
      <alignment vertical="center"/>
      <protection/>
    </xf>
    <xf numFmtId="0" fontId="71" fillId="45" borderId="11" xfId="0" applyFont="1" applyFill="1" applyBorder="1" applyAlignment="1">
      <alignment horizontal="center" vertical="center"/>
    </xf>
    <xf numFmtId="169" fontId="71" fillId="45" borderId="11" xfId="0" applyNumberFormat="1" applyFont="1" applyFill="1" applyBorder="1" applyAlignment="1">
      <alignment horizontal="center" vertical="center"/>
    </xf>
    <xf numFmtId="0" fontId="71" fillId="45" borderId="11" xfId="0" applyFont="1" applyFill="1" applyBorder="1" applyAlignment="1">
      <alignment vertical="center" wrapText="1"/>
    </xf>
    <xf numFmtId="3" fontId="71" fillId="45" borderId="11" xfId="0" applyNumberFormat="1" applyFont="1" applyFill="1" applyBorder="1" applyAlignment="1">
      <alignment vertical="center"/>
    </xf>
    <xf numFmtId="164" fontId="70" fillId="45" borderId="11" xfId="0" applyNumberFormat="1" applyFont="1" applyFill="1" applyBorder="1" applyAlignment="1">
      <alignment vertical="center"/>
    </xf>
    <xf numFmtId="0" fontId="25" fillId="45" borderId="0" xfId="0" applyFont="1" applyFill="1" applyAlignment="1">
      <alignment vertical="center"/>
    </xf>
    <xf numFmtId="164" fontId="10" fillId="0" borderId="0" xfId="74" applyNumberFormat="1" applyFont="1" applyBorder="1" applyAlignment="1">
      <alignment horizontal="right" vertical="center" wrapText="1"/>
      <protection/>
    </xf>
    <xf numFmtId="164" fontId="10" fillId="0" borderId="12" xfId="74" applyNumberFormat="1" applyFont="1" applyBorder="1" applyAlignment="1">
      <alignment horizontal="right" vertical="center" wrapText="1"/>
      <protection/>
    </xf>
    <xf numFmtId="164" fontId="7" fillId="0" borderId="11" xfId="74" applyNumberFormat="1" applyFont="1" applyBorder="1" applyAlignment="1">
      <alignment horizontal="center" vertical="center"/>
      <protection/>
    </xf>
    <xf numFmtId="164" fontId="5" fillId="36" borderId="11" xfId="74" applyNumberFormat="1" applyFont="1" applyFill="1" applyBorder="1" applyAlignment="1">
      <alignment vertical="center"/>
      <protection/>
    </xf>
    <xf numFmtId="164" fontId="4" fillId="35" borderId="11" xfId="74" applyNumberFormat="1" applyFont="1" applyFill="1" applyBorder="1" applyAlignment="1">
      <alignment vertical="center"/>
      <protection/>
    </xf>
    <xf numFmtId="164" fontId="4" fillId="34" borderId="11" xfId="74" applyNumberFormat="1" applyFont="1" applyFill="1" applyBorder="1" applyAlignment="1">
      <alignment vertical="center"/>
      <protection/>
    </xf>
    <xf numFmtId="164" fontId="74" fillId="35" borderId="11" xfId="74" applyNumberFormat="1" applyFont="1" applyFill="1" applyBorder="1" applyAlignment="1">
      <alignment vertical="center"/>
      <protection/>
    </xf>
    <xf numFmtId="164" fontId="74" fillId="34" borderId="11" xfId="74" applyNumberFormat="1" applyFont="1" applyFill="1" applyBorder="1" applyAlignment="1">
      <alignment vertical="center"/>
      <protection/>
    </xf>
    <xf numFmtId="164" fontId="4" fillId="0" borderId="11" xfId="74" applyNumberFormat="1" applyFont="1" applyBorder="1" applyAlignment="1">
      <alignment vertical="center"/>
      <protection/>
    </xf>
    <xf numFmtId="164" fontId="75" fillId="34" borderId="11" xfId="74" applyNumberFormat="1" applyFont="1" applyFill="1" applyBorder="1" applyAlignment="1">
      <alignment vertical="center"/>
      <protection/>
    </xf>
    <xf numFmtId="164" fontId="75" fillId="0" borderId="11" xfId="74" applyNumberFormat="1" applyFont="1" applyBorder="1" applyAlignment="1">
      <alignment vertical="center"/>
      <protection/>
    </xf>
    <xf numFmtId="164" fontId="70" fillId="46" borderId="11" xfId="0" applyNumberFormat="1" applyFont="1" applyFill="1" applyBorder="1" applyAlignment="1">
      <alignment vertical="center"/>
    </xf>
    <xf numFmtId="164" fontId="70" fillId="0" borderId="11" xfId="0" applyNumberFormat="1" applyFont="1" applyFill="1" applyBorder="1" applyAlignment="1">
      <alignment vertical="center"/>
    </xf>
    <xf numFmtId="164" fontId="26" fillId="0" borderId="11" xfId="0" applyNumberFormat="1" applyFont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/>
    </xf>
    <xf numFmtId="169" fontId="71" fillId="0" borderId="11" xfId="0" applyNumberFormat="1" applyFont="1" applyFill="1" applyBorder="1" applyAlignment="1">
      <alignment horizontal="center" vertical="center"/>
    </xf>
    <xf numFmtId="0" fontId="71" fillId="0" borderId="11" xfId="0" applyFont="1" applyFill="1" applyBorder="1" applyAlignment="1">
      <alignment vertical="center" wrapText="1"/>
    </xf>
    <xf numFmtId="3" fontId="71" fillId="0" borderId="11" xfId="0" applyNumberFormat="1" applyFont="1" applyFill="1" applyBorder="1" applyAlignment="1">
      <alignment vertical="center"/>
    </xf>
    <xf numFmtId="165" fontId="21" fillId="40" borderId="11" xfId="0" applyNumberFormat="1" applyFont="1" applyFill="1" applyBorder="1" applyAlignment="1" applyProtection="1">
      <alignment horizontal="center" vertical="center" wrapText="1"/>
      <protection/>
    </xf>
    <xf numFmtId="165" fontId="5" fillId="40" borderId="11" xfId="0" applyNumberFormat="1" applyFont="1" applyFill="1" applyBorder="1" applyAlignment="1" applyProtection="1">
      <alignment horizontal="center" vertical="center" wrapText="1"/>
      <protection/>
    </xf>
    <xf numFmtId="0" fontId="71" fillId="0" borderId="11" xfId="0" applyFont="1" applyFill="1" applyBorder="1" applyAlignment="1">
      <alignment horizontal="justify"/>
    </xf>
    <xf numFmtId="164" fontId="70" fillId="21" borderId="11" xfId="0" applyNumberFormat="1" applyFont="1" applyFill="1" applyBorder="1" applyAlignment="1">
      <alignment vertical="center"/>
    </xf>
    <xf numFmtId="0" fontId="28" fillId="0" borderId="0" xfId="0" applyFont="1" applyAlignment="1">
      <alignment vertical="center"/>
    </xf>
    <xf numFmtId="49" fontId="3" fillId="0" borderId="12" xfId="74" applyNumberFormat="1" applyFont="1" applyBorder="1" applyAlignment="1">
      <alignment horizontal="center" vertical="center" wrapText="1"/>
      <protection/>
    </xf>
    <xf numFmtId="49" fontId="5" fillId="36" borderId="11" xfId="74" applyNumberFormat="1" applyFont="1" applyFill="1" applyBorder="1" applyAlignment="1">
      <alignment horizontal="center" vertical="center"/>
      <protection/>
    </xf>
    <xf numFmtId="49" fontId="4" fillId="35" borderId="11" xfId="74" applyNumberFormat="1" applyFont="1" applyFill="1" applyBorder="1" applyAlignment="1">
      <alignment horizontal="center" vertical="center"/>
      <protection/>
    </xf>
    <xf numFmtId="49" fontId="4" fillId="34" borderId="11" xfId="74" applyNumberFormat="1" applyFont="1" applyFill="1" applyBorder="1" applyAlignment="1">
      <alignment horizontal="center" vertical="center"/>
      <protection/>
    </xf>
    <xf numFmtId="49" fontId="4" fillId="0" borderId="11" xfId="74" applyNumberFormat="1" applyFont="1" applyBorder="1" applyAlignment="1">
      <alignment horizontal="center" vertical="center"/>
      <protection/>
    </xf>
    <xf numFmtId="49" fontId="4" fillId="0" borderId="11" xfId="74" applyNumberFormat="1" applyFont="1" applyFill="1" applyBorder="1" applyAlignment="1">
      <alignment horizontal="center" vertical="center" wrapText="1"/>
      <protection/>
    </xf>
    <xf numFmtId="49" fontId="4" fillId="0" borderId="11" xfId="74" applyNumberFormat="1" applyFont="1" applyFill="1" applyBorder="1" applyAlignment="1">
      <alignment horizontal="center" vertical="center"/>
      <protection/>
    </xf>
    <xf numFmtId="49" fontId="3" fillId="0" borderId="0" xfId="74" applyNumberFormat="1" applyFont="1" applyAlignment="1">
      <alignment horizontal="center" vertical="center"/>
      <protection/>
    </xf>
    <xf numFmtId="164" fontId="74" fillId="0" borderId="11" xfId="0" applyNumberFormat="1" applyFont="1" applyBorder="1" applyAlignment="1">
      <alignment vertical="center"/>
    </xf>
    <xf numFmtId="164" fontId="74" fillId="0" borderId="11" xfId="0" applyNumberFormat="1" applyFont="1" applyFill="1" applyBorder="1" applyAlignment="1">
      <alignment vertical="center"/>
    </xf>
    <xf numFmtId="164" fontId="74" fillId="35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0" applyNumberFormat="1" applyFont="1" applyBorder="1" applyAlignment="1">
      <alignment vertical="center"/>
    </xf>
    <xf numFmtId="164" fontId="75" fillId="0" borderId="11" xfId="0" applyNumberFormat="1" applyFont="1" applyFill="1" applyBorder="1" applyAlignment="1">
      <alignment vertical="center"/>
    </xf>
    <xf numFmtId="164" fontId="75" fillId="35" borderId="11" xfId="0" applyNumberFormat="1" applyFont="1" applyFill="1" applyBorder="1" applyAlignment="1" applyProtection="1">
      <alignment horizontal="right" vertical="center" wrapText="1"/>
      <protection locked="0"/>
    </xf>
    <xf numFmtId="164" fontId="76" fillId="42" borderId="11" xfId="0" applyNumberFormat="1" applyFont="1" applyFill="1" applyBorder="1" applyAlignment="1">
      <alignment vertical="center"/>
    </xf>
    <xf numFmtId="164" fontId="76" fillId="43" borderId="11" xfId="0" applyNumberFormat="1" applyFont="1" applyFill="1" applyBorder="1" applyAlignment="1">
      <alignment vertical="center"/>
    </xf>
    <xf numFmtId="164" fontId="25" fillId="0" borderId="0" xfId="0" applyNumberFormat="1" applyFont="1" applyFill="1" applyAlignment="1">
      <alignment vertical="center"/>
    </xf>
    <xf numFmtId="0" fontId="71" fillId="47" borderId="11" xfId="0" applyFont="1" applyFill="1" applyBorder="1" applyAlignment="1">
      <alignment horizontal="center" vertical="center"/>
    </xf>
    <xf numFmtId="164" fontId="10" fillId="0" borderId="0" xfId="74" applyNumberFormat="1" applyFont="1" applyBorder="1" applyAlignment="1">
      <alignment horizontal="center" vertical="center" wrapText="1"/>
      <protection/>
    </xf>
    <xf numFmtId="164" fontId="6" fillId="44" borderId="11" xfId="74" applyNumberFormat="1" applyFont="1" applyFill="1" applyBorder="1" applyAlignment="1" applyProtection="1">
      <alignment horizontal="center" vertical="center" wrapText="1"/>
      <protection/>
    </xf>
    <xf numFmtId="0" fontId="26" fillId="44" borderId="11" xfId="0" applyFont="1" applyFill="1" applyBorder="1" applyAlignment="1">
      <alignment horizontal="center" vertical="center" wrapText="1"/>
    </xf>
    <xf numFmtId="164" fontId="26" fillId="44" borderId="11" xfId="0" applyNumberFormat="1" applyFont="1" applyFill="1" applyBorder="1" applyAlignment="1">
      <alignment horizontal="center" vertical="center" wrapText="1"/>
    </xf>
    <xf numFmtId="164" fontId="23" fillId="44" borderId="11" xfId="0" applyNumberFormat="1" applyFont="1" applyFill="1" applyBorder="1" applyAlignment="1">
      <alignment horizontal="right" vertical="center" wrapText="1"/>
    </xf>
    <xf numFmtId="164" fontId="72" fillId="44" borderId="11" xfId="0" applyNumberFormat="1" applyFont="1" applyFill="1" applyBorder="1" applyAlignment="1">
      <alignment vertical="center" wrapText="1"/>
    </xf>
    <xf numFmtId="164" fontId="4" fillId="44" borderId="11" xfId="0" applyNumberFormat="1" applyFont="1" applyFill="1" applyBorder="1" applyAlignment="1" applyProtection="1">
      <alignment horizontal="right" vertical="center" wrapText="1"/>
      <protection locked="0"/>
    </xf>
    <xf numFmtId="164" fontId="74" fillId="44" borderId="11" xfId="0" applyNumberFormat="1" applyFont="1" applyFill="1" applyBorder="1" applyAlignment="1" applyProtection="1">
      <alignment horizontal="right" vertical="center" wrapText="1"/>
      <protection locked="0"/>
    </xf>
    <xf numFmtId="164" fontId="74" fillId="44" borderId="11" xfId="0" applyNumberFormat="1" applyFont="1" applyFill="1" applyBorder="1" applyAlignment="1">
      <alignment vertical="center"/>
    </xf>
    <xf numFmtId="164" fontId="72" fillId="44" borderId="11" xfId="0" applyNumberFormat="1" applyFont="1" applyFill="1" applyBorder="1" applyAlignment="1">
      <alignment vertical="center"/>
    </xf>
    <xf numFmtId="164" fontId="4" fillId="44" borderId="11" xfId="0" applyNumberFormat="1" applyFont="1" applyFill="1" applyBorder="1" applyAlignment="1" applyProtection="1">
      <alignment vertical="center" wrapText="1"/>
      <protection locked="0"/>
    </xf>
    <xf numFmtId="164" fontId="4" fillId="44" borderId="11" xfId="0" applyNumberFormat="1" applyFont="1" applyFill="1" applyBorder="1" applyAlignment="1">
      <alignment vertical="center"/>
    </xf>
    <xf numFmtId="164" fontId="75" fillId="44" borderId="11" xfId="0" applyNumberFormat="1" applyFont="1" applyFill="1" applyBorder="1" applyAlignment="1">
      <alignment vertical="center"/>
    </xf>
    <xf numFmtId="164" fontId="75" fillId="44" borderId="11" xfId="0" applyNumberFormat="1" applyFont="1" applyFill="1" applyBorder="1" applyAlignment="1" applyProtection="1">
      <alignment horizontal="right" vertical="center" wrapText="1"/>
      <protection locked="0"/>
    </xf>
    <xf numFmtId="164" fontId="24" fillId="44" borderId="11" xfId="0" applyNumberFormat="1" applyFont="1" applyFill="1" applyBorder="1" applyAlignment="1">
      <alignment horizontal="right" vertical="center"/>
    </xf>
    <xf numFmtId="0" fontId="24" fillId="44" borderId="11" xfId="0" applyFont="1" applyFill="1" applyBorder="1" applyAlignment="1">
      <alignment vertical="center"/>
    </xf>
    <xf numFmtId="164" fontId="21" fillId="44" borderId="11" xfId="0" applyNumberFormat="1" applyFont="1" applyFill="1" applyBorder="1" applyAlignment="1" applyProtection="1">
      <alignment horizontal="right" vertical="center" wrapText="1"/>
      <protection locked="0"/>
    </xf>
    <xf numFmtId="164" fontId="23" fillId="44" borderId="11" xfId="0" applyNumberFormat="1" applyFont="1" applyFill="1" applyBorder="1" applyAlignment="1">
      <alignment vertical="center"/>
    </xf>
    <xf numFmtId="164" fontId="76" fillId="44" borderId="11" xfId="0" applyNumberFormat="1" applyFont="1" applyFill="1" applyBorder="1" applyAlignment="1">
      <alignment vertical="center"/>
    </xf>
    <xf numFmtId="164" fontId="5" fillId="44" borderId="11" xfId="0" applyNumberFormat="1" applyFont="1" applyFill="1" applyBorder="1" applyAlignment="1" applyProtection="1">
      <alignment horizontal="right" vertical="center" wrapText="1"/>
      <protection locked="0"/>
    </xf>
    <xf numFmtId="164" fontId="21" fillId="44" borderId="11" xfId="0" applyNumberFormat="1" applyFont="1" applyFill="1" applyBorder="1" applyAlignment="1" applyProtection="1">
      <alignment vertical="center" wrapText="1"/>
      <protection locked="0"/>
    </xf>
    <xf numFmtId="164" fontId="5" fillId="44" borderId="11" xfId="0" applyNumberFormat="1" applyFont="1" applyFill="1" applyBorder="1" applyAlignment="1" applyProtection="1">
      <alignment vertical="center" wrapText="1"/>
      <protection locked="0"/>
    </xf>
    <xf numFmtId="164" fontId="69" fillId="44" borderId="0" xfId="0" applyNumberFormat="1" applyFont="1" applyFill="1" applyAlignment="1">
      <alignment vertical="center"/>
    </xf>
    <xf numFmtId="49" fontId="74" fillId="0" borderId="11" xfId="74" applyNumberFormat="1" applyFont="1" applyBorder="1" applyAlignment="1">
      <alignment horizontal="center" vertical="center"/>
      <protection/>
    </xf>
    <xf numFmtId="49" fontId="74" fillId="0" borderId="11" xfId="74" applyNumberFormat="1" applyFont="1" applyBorder="1" applyAlignment="1">
      <alignment horizontal="right" vertical="center"/>
      <protection/>
    </xf>
    <xf numFmtId="49" fontId="74" fillId="0" borderId="11" xfId="74" applyNumberFormat="1" applyFont="1" applyBorder="1" applyAlignment="1">
      <alignment vertical="center" wrapText="1"/>
      <protection/>
    </xf>
    <xf numFmtId="0" fontId="74" fillId="0" borderId="11" xfId="74" applyFont="1" applyBorder="1" applyAlignment="1">
      <alignment vertical="center" wrapText="1"/>
      <protection/>
    </xf>
    <xf numFmtId="3" fontId="74" fillId="0" borderId="11" xfId="74" applyNumberFormat="1" applyFont="1" applyBorder="1" applyAlignment="1">
      <alignment vertical="center"/>
      <protection/>
    </xf>
    <xf numFmtId="164" fontId="74" fillId="0" borderId="11" xfId="74" applyNumberFormat="1" applyFont="1" applyBorder="1" applyAlignment="1">
      <alignment vertical="center"/>
      <protection/>
    </xf>
    <xf numFmtId="0" fontId="77" fillId="0" borderId="0" xfId="74" applyFont="1" applyAlignment="1">
      <alignment vertical="center"/>
      <protection/>
    </xf>
    <xf numFmtId="0" fontId="74" fillId="0" borderId="11" xfId="0" applyFont="1" applyBorder="1" applyAlignment="1">
      <alignment vertical="center" wrapText="1"/>
    </xf>
    <xf numFmtId="164" fontId="24" fillId="0" borderId="0" xfId="0" applyNumberFormat="1" applyFont="1" applyFill="1" applyAlignment="1">
      <alignment vertical="center"/>
    </xf>
    <xf numFmtId="0" fontId="29" fillId="0" borderId="11" xfId="0" applyFont="1" applyFill="1" applyBorder="1" applyAlignment="1">
      <alignment horizontal="center" vertical="center"/>
    </xf>
    <xf numFmtId="16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right" vertical="center"/>
    </xf>
    <xf numFmtId="164" fontId="22" fillId="0" borderId="11" xfId="0" applyNumberFormat="1" applyFont="1" applyFill="1" applyBorder="1" applyAlignment="1">
      <alignment horizontal="right" vertical="center"/>
    </xf>
    <xf numFmtId="164" fontId="30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164" fontId="6" fillId="0" borderId="11" xfId="74" applyNumberFormat="1" applyFont="1" applyFill="1" applyBorder="1" applyAlignment="1" applyProtection="1">
      <alignment horizontal="center" vertical="center" wrapText="1"/>
      <protection/>
    </xf>
    <xf numFmtId="0" fontId="74" fillId="0" borderId="11" xfId="0" applyFont="1" applyBorder="1" applyAlignment="1">
      <alignment horizontal="center" vertical="center"/>
    </xf>
    <xf numFmtId="169" fontId="74" fillId="0" borderId="11" xfId="0" applyNumberFormat="1" applyFont="1" applyBorder="1" applyAlignment="1">
      <alignment horizontal="center" vertical="center"/>
    </xf>
    <xf numFmtId="3" fontId="74" fillId="0" borderId="11" xfId="0" applyNumberFormat="1" applyFont="1" applyBorder="1" applyAlignment="1">
      <alignment vertical="center"/>
    </xf>
    <xf numFmtId="164" fontId="79" fillId="0" borderId="0" xfId="0" applyNumberFormat="1" applyFont="1" applyFill="1" applyAlignment="1">
      <alignment vertical="center"/>
    </xf>
    <xf numFmtId="0" fontId="79" fillId="0" borderId="0" xfId="0" applyFont="1" applyFill="1" applyAlignment="1">
      <alignment vertical="center"/>
    </xf>
    <xf numFmtId="0" fontId="71" fillId="0" borderId="11" xfId="0" applyFont="1" applyFill="1" applyBorder="1" applyAlignment="1">
      <alignment horizontal="justify" vertical="center"/>
    </xf>
    <xf numFmtId="164" fontId="6" fillId="0" borderId="14" xfId="74" applyNumberFormat="1" applyFont="1" applyFill="1" applyBorder="1" applyAlignment="1" applyProtection="1">
      <alignment horizontal="center" vertical="center" wrapText="1"/>
      <protection/>
    </xf>
    <xf numFmtId="164" fontId="6" fillId="0" borderId="15" xfId="74" applyNumberFormat="1" applyFont="1" applyFill="1" applyBorder="1" applyAlignment="1" applyProtection="1">
      <alignment horizontal="center" vertical="center" wrapText="1"/>
      <protection/>
    </xf>
    <xf numFmtId="164" fontId="6" fillId="0" borderId="11" xfId="74" applyNumberFormat="1" applyFont="1" applyFill="1" applyBorder="1" applyAlignment="1" applyProtection="1">
      <alignment horizontal="center" vertical="center" wrapText="1"/>
      <protection/>
    </xf>
    <xf numFmtId="164" fontId="10" fillId="0" borderId="0" xfId="74" applyNumberFormat="1" applyFont="1" applyBorder="1" applyAlignment="1">
      <alignment horizontal="center" vertical="center" wrapText="1"/>
      <protection/>
    </xf>
    <xf numFmtId="49" fontId="4" fillId="0" borderId="0" xfId="74" applyNumberFormat="1" applyFont="1" applyAlignment="1">
      <alignment horizontal="center" vertical="center" wrapText="1"/>
      <protection/>
    </xf>
    <xf numFmtId="0" fontId="6" fillId="0" borderId="11" xfId="74" applyFont="1" applyBorder="1" applyAlignment="1">
      <alignment horizontal="center" vertical="center" textRotation="90" wrapText="1"/>
      <protection/>
    </xf>
    <xf numFmtId="0" fontId="6" fillId="0" borderId="11" xfId="74" applyFont="1" applyFill="1" applyBorder="1" applyAlignment="1" applyProtection="1">
      <alignment horizontal="center" vertical="center" wrapText="1"/>
      <protection/>
    </xf>
    <xf numFmtId="0" fontId="4" fillId="0" borderId="0" xfId="74" applyFont="1" applyAlignment="1">
      <alignment horizontal="center" vertical="center" wrapText="1"/>
      <protection/>
    </xf>
  </cellXfs>
  <cellStyles count="74">
    <cellStyle name="Normal" xfId="0"/>
    <cellStyle name="_ОТ АСИИ" xfId="15"/>
    <cellStyle name="_после корректоров Приложения 1-4, 6-11 (рус)" xfId="16"/>
    <cellStyle name="_приложение 4 (рус)" xfId="17"/>
    <cellStyle name="20% - Акцент1" xfId="18"/>
    <cellStyle name="20% - Акцент2" xfId="19"/>
    <cellStyle name="20% - Акцент3" xfId="20"/>
    <cellStyle name="20% - Акцент4" xfId="21"/>
    <cellStyle name="20% - Акцент5" xfId="22"/>
    <cellStyle name="20% - Акцент6" xfId="23"/>
    <cellStyle name="40% - Акцент1" xfId="24"/>
    <cellStyle name="40% - Акцент2" xfId="25"/>
    <cellStyle name="40% - Акцент3" xfId="26"/>
    <cellStyle name="40% - Акцент4" xfId="27"/>
    <cellStyle name="40% - Акцент5" xfId="28"/>
    <cellStyle name="40% - Акцент6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Cel5" xfId="36"/>
    <cellStyle name="Cel6" xfId="37"/>
    <cellStyle name="Cell1" xfId="38"/>
    <cellStyle name="Cell2" xfId="39"/>
    <cellStyle name="Cell3" xfId="40"/>
    <cellStyle name="Cell4" xfId="41"/>
    <cellStyle name="Name1" xfId="42"/>
    <cellStyle name="Name2" xfId="43"/>
    <cellStyle name="Name3" xfId="44"/>
    <cellStyle name="Name4" xfId="45"/>
    <cellStyle name="Name5" xfId="46"/>
    <cellStyle name="White1" xfId="47"/>
    <cellStyle name="White2" xfId="48"/>
    <cellStyle name="White3" xfId="49"/>
    <cellStyle name="White4" xfId="50"/>
    <cellStyle name="White5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3" xfId="72"/>
    <cellStyle name="Обычный 4" xfId="73"/>
    <cellStyle name="Обычный_Xl0000031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Стиль 1" xfId="80"/>
    <cellStyle name="Текст предупреждения" xfId="81"/>
    <cellStyle name="Тысячи [0]_doxod " xfId="82"/>
    <cellStyle name="Тысячи_doxod " xfId="83"/>
    <cellStyle name="Comma" xfId="84"/>
    <cellStyle name="Comma [0]" xfId="85"/>
    <cellStyle name="Финансовый 4" xfId="86"/>
    <cellStyle name="Хороший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</sheetPr>
  <dimension ref="A1:AA69"/>
  <sheetViews>
    <sheetView tabSelected="1" view="pageBreakPreview" zoomScale="76" zoomScaleNormal="75" zoomScaleSheetLayoutView="76" zoomScalePageLayoutView="0" workbookViewId="0" topLeftCell="A1">
      <selection activeCell="F5" sqref="F5"/>
    </sheetView>
  </sheetViews>
  <sheetFormatPr defaultColWidth="9.140625" defaultRowHeight="15" outlineLevelRow="2" outlineLevelCol="1"/>
  <cols>
    <col min="1" max="1" width="6.00390625" style="203" customWidth="1"/>
    <col min="2" max="2" width="6.7109375" style="203" customWidth="1"/>
    <col min="3" max="3" width="7.28125" style="203" customWidth="1"/>
    <col min="4" max="4" width="5.140625" style="2" hidden="1" customWidth="1"/>
    <col min="5" max="5" width="66.57421875" style="2" hidden="1" customWidth="1"/>
    <col min="6" max="6" width="69.421875" style="1" customWidth="1"/>
    <col min="7" max="7" width="16.8515625" style="1" hidden="1" customWidth="1" outlineLevel="1"/>
    <col min="8" max="8" width="14.7109375" style="1" hidden="1" customWidth="1" outlineLevel="1"/>
    <col min="9" max="9" width="20.140625" style="51" hidden="1" customWidth="1" outlineLevel="1" collapsed="1"/>
    <col min="10" max="11" width="20.140625" style="51" hidden="1" customWidth="1" outlineLevel="1"/>
    <col min="12" max="12" width="19.7109375" style="51" hidden="1" customWidth="1" collapsed="1"/>
    <col min="13" max="13" width="19.7109375" style="51" hidden="1" customWidth="1"/>
    <col min="14" max="14" width="20.140625" style="51" hidden="1" customWidth="1" outlineLevel="1"/>
    <col min="15" max="15" width="19.7109375" style="51" hidden="1" customWidth="1" collapsed="1"/>
    <col min="16" max="16" width="19.7109375" style="51" hidden="1" customWidth="1"/>
    <col min="17" max="17" width="20.140625" style="51" hidden="1" customWidth="1" outlineLevel="1"/>
    <col min="18" max="18" width="20.7109375" style="51" customWidth="1" collapsed="1"/>
    <col min="19" max="16384" width="9.140625" style="1" customWidth="1"/>
  </cols>
  <sheetData>
    <row r="1" spans="1:27" ht="67.5" customHeight="1">
      <c r="A1" s="264"/>
      <c r="B1" s="264"/>
      <c r="C1" s="264"/>
      <c r="D1" s="264"/>
      <c r="E1" s="264"/>
      <c r="F1" s="267" t="s">
        <v>597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51"/>
      <c r="U1" s="51"/>
      <c r="X1" s="51"/>
      <c r="AA1" s="51"/>
    </row>
    <row r="2" spans="1:27" ht="67.5" customHeight="1">
      <c r="A2" s="264"/>
      <c r="B2" s="264"/>
      <c r="C2" s="264"/>
      <c r="D2" s="264"/>
      <c r="E2" s="264"/>
      <c r="F2" s="267" t="s">
        <v>557</v>
      </c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51"/>
      <c r="U2" s="51"/>
      <c r="X2" s="51"/>
      <c r="AA2" s="51"/>
    </row>
    <row r="3" spans="1:27" ht="18.75" customHeight="1">
      <c r="A3" s="53"/>
      <c r="B3" s="53"/>
      <c r="C3" s="53"/>
      <c r="D3" s="53"/>
      <c r="E3" s="53"/>
      <c r="F3" s="52"/>
      <c r="I3" s="263" t="s">
        <v>532</v>
      </c>
      <c r="J3" s="263"/>
      <c r="K3" s="263" t="s">
        <v>567</v>
      </c>
      <c r="L3" s="263"/>
      <c r="M3" s="263" t="s">
        <v>570</v>
      </c>
      <c r="N3" s="263"/>
      <c r="O3" s="263"/>
      <c r="P3" s="214"/>
      <c r="Q3" s="214"/>
      <c r="R3" s="173"/>
      <c r="S3" s="51"/>
      <c r="U3" s="51"/>
      <c r="X3" s="51"/>
      <c r="AA3" s="51"/>
    </row>
    <row r="4" spans="1:18" s="49" customFormat="1" ht="15" customHeight="1">
      <c r="A4" s="196"/>
      <c r="B4" s="196"/>
      <c r="C4" s="196"/>
      <c r="D4" s="50"/>
      <c r="E4" s="50"/>
      <c r="F4" s="50"/>
      <c r="I4" s="174"/>
      <c r="J4" s="174"/>
      <c r="K4" s="174"/>
      <c r="L4" s="174"/>
      <c r="M4" s="174"/>
      <c r="N4" s="174"/>
      <c r="O4" s="174" t="s">
        <v>133</v>
      </c>
      <c r="P4" s="174"/>
      <c r="Q4" s="174"/>
      <c r="R4" s="174" t="s">
        <v>133</v>
      </c>
    </row>
    <row r="5" spans="1:18" ht="32.25" customHeight="1">
      <c r="A5" s="265" t="s">
        <v>591</v>
      </c>
      <c r="B5" s="265" t="s">
        <v>592</v>
      </c>
      <c r="C5" s="265" t="s">
        <v>593</v>
      </c>
      <c r="D5" s="47"/>
      <c r="E5" s="48" t="s">
        <v>132</v>
      </c>
      <c r="F5" s="48" t="s">
        <v>131</v>
      </c>
      <c r="G5" s="266" t="s">
        <v>130</v>
      </c>
      <c r="H5" s="266" t="s">
        <v>129</v>
      </c>
      <c r="I5" s="262" t="s">
        <v>128</v>
      </c>
      <c r="J5" s="262" t="s">
        <v>544</v>
      </c>
      <c r="K5" s="260" t="s">
        <v>543</v>
      </c>
      <c r="L5" s="262" t="s">
        <v>128</v>
      </c>
      <c r="M5" s="260" t="s">
        <v>544</v>
      </c>
      <c r="N5" s="260" t="s">
        <v>543</v>
      </c>
      <c r="O5" s="262" t="s">
        <v>128</v>
      </c>
      <c r="P5" s="260" t="s">
        <v>544</v>
      </c>
      <c r="Q5" s="260" t="s">
        <v>543</v>
      </c>
      <c r="R5" s="262" t="s">
        <v>590</v>
      </c>
    </row>
    <row r="6" spans="1:18" ht="38.25" customHeight="1">
      <c r="A6" s="265"/>
      <c r="B6" s="265"/>
      <c r="C6" s="265"/>
      <c r="D6" s="47"/>
      <c r="E6" s="46" t="s">
        <v>127</v>
      </c>
      <c r="F6" s="43" t="s">
        <v>126</v>
      </c>
      <c r="G6" s="266"/>
      <c r="H6" s="266"/>
      <c r="I6" s="262"/>
      <c r="J6" s="262"/>
      <c r="K6" s="261"/>
      <c r="L6" s="262"/>
      <c r="M6" s="261"/>
      <c r="N6" s="261"/>
      <c r="O6" s="262"/>
      <c r="P6" s="261"/>
      <c r="Q6" s="261"/>
      <c r="R6" s="262"/>
    </row>
    <row r="7" spans="1:18" s="41" customFormat="1" ht="15" customHeight="1">
      <c r="A7" s="45" t="s">
        <v>125</v>
      </c>
      <c r="B7" s="45" t="s">
        <v>24</v>
      </c>
      <c r="C7" s="45" t="s">
        <v>39</v>
      </c>
      <c r="D7" s="45"/>
      <c r="E7" s="45" t="s">
        <v>29</v>
      </c>
      <c r="F7" s="42">
        <v>5</v>
      </c>
      <c r="G7" s="44">
        <v>6</v>
      </c>
      <c r="H7" s="43"/>
      <c r="I7" s="175">
        <v>6</v>
      </c>
      <c r="J7" s="175">
        <v>6</v>
      </c>
      <c r="K7" s="175"/>
      <c r="L7" s="42">
        <v>6</v>
      </c>
      <c r="M7" s="42"/>
      <c r="N7" s="175"/>
      <c r="O7" s="42">
        <v>6</v>
      </c>
      <c r="P7" s="42"/>
      <c r="Q7" s="175"/>
      <c r="R7" s="42">
        <v>5</v>
      </c>
    </row>
    <row r="8" spans="1:18" ht="23.25" customHeight="1">
      <c r="A8" s="39"/>
      <c r="B8" s="40"/>
      <c r="C8" s="39"/>
      <c r="D8" s="38"/>
      <c r="E8" s="38" t="s">
        <v>124</v>
      </c>
      <c r="F8" s="38" t="s">
        <v>123</v>
      </c>
      <c r="G8" s="37">
        <f aca="true" t="shared" si="0" ref="G8:R8">G9+G19+G57+G52</f>
        <v>59250190</v>
      </c>
      <c r="H8" s="37">
        <f t="shared" si="0"/>
        <v>31018800</v>
      </c>
      <c r="I8" s="148">
        <f t="shared" si="0"/>
        <v>90268990</v>
      </c>
      <c r="J8" s="148">
        <f t="shared" si="0"/>
        <v>3711568.8000000003</v>
      </c>
      <c r="K8" s="148">
        <f t="shared" si="0"/>
        <v>-643882</v>
      </c>
      <c r="L8" s="148">
        <f t="shared" si="0"/>
        <v>93336676.8</v>
      </c>
      <c r="M8" s="148">
        <f t="shared" si="0"/>
        <v>0</v>
      </c>
      <c r="N8" s="148">
        <f t="shared" si="0"/>
        <v>0</v>
      </c>
      <c r="O8" s="148">
        <f t="shared" si="0"/>
        <v>93336676.8</v>
      </c>
      <c r="P8" s="148">
        <f t="shared" si="0"/>
        <v>338580.3</v>
      </c>
      <c r="Q8" s="148">
        <f t="shared" si="0"/>
        <v>0</v>
      </c>
      <c r="R8" s="148">
        <f t="shared" si="0"/>
        <v>93675257.10000001</v>
      </c>
    </row>
    <row r="9" spans="1:18" s="34" customFormat="1" ht="23.25" customHeight="1">
      <c r="A9" s="197" t="s">
        <v>11</v>
      </c>
      <c r="B9" s="197"/>
      <c r="C9" s="197"/>
      <c r="D9" s="21"/>
      <c r="E9" s="20" t="s">
        <v>122</v>
      </c>
      <c r="F9" s="19" t="s">
        <v>121</v>
      </c>
      <c r="G9" s="18">
        <f aca="true" t="shared" si="1" ref="G9:L9">G10+G14</f>
        <v>8732088</v>
      </c>
      <c r="H9" s="18">
        <f t="shared" si="1"/>
        <v>0</v>
      </c>
      <c r="I9" s="176">
        <f t="shared" si="1"/>
        <v>8732088</v>
      </c>
      <c r="J9" s="176">
        <f t="shared" si="1"/>
        <v>0</v>
      </c>
      <c r="K9" s="176">
        <f t="shared" si="1"/>
        <v>0</v>
      </c>
      <c r="L9" s="176">
        <f t="shared" si="1"/>
        <v>8732088</v>
      </c>
      <c r="M9" s="176"/>
      <c r="N9" s="176">
        <f>N10+N14</f>
        <v>0</v>
      </c>
      <c r="O9" s="176">
        <f>O10+O14</f>
        <v>8732088</v>
      </c>
      <c r="P9" s="176">
        <f>P10+P14</f>
        <v>239891</v>
      </c>
      <c r="Q9" s="176">
        <f>Q10+Q14</f>
        <v>0</v>
      </c>
      <c r="R9" s="176">
        <f>R10+R14</f>
        <v>8971979</v>
      </c>
    </row>
    <row r="10" spans="1:18" ht="23.25" customHeight="1">
      <c r="A10" s="198"/>
      <c r="B10" s="198" t="s">
        <v>8</v>
      </c>
      <c r="C10" s="198"/>
      <c r="D10" s="14"/>
      <c r="E10" s="36" t="s">
        <v>120</v>
      </c>
      <c r="F10" s="12" t="s">
        <v>119</v>
      </c>
      <c r="G10" s="11">
        <f>G11</f>
        <v>7670693</v>
      </c>
      <c r="H10" s="11">
        <f>H11</f>
        <v>0</v>
      </c>
      <c r="I10" s="177">
        <f>I11</f>
        <v>7670693</v>
      </c>
      <c r="J10" s="177"/>
      <c r="K10" s="177"/>
      <c r="L10" s="177">
        <f aca="true" t="shared" si="2" ref="L10:Q10">L11</f>
        <v>7670693</v>
      </c>
      <c r="M10" s="177"/>
      <c r="N10" s="177"/>
      <c r="O10" s="177">
        <f t="shared" si="2"/>
        <v>7670693</v>
      </c>
      <c r="P10" s="177">
        <f t="shared" si="2"/>
        <v>239891</v>
      </c>
      <c r="Q10" s="177">
        <f t="shared" si="2"/>
        <v>0</v>
      </c>
      <c r="R10" s="177">
        <f>R11</f>
        <v>7910584</v>
      </c>
    </row>
    <row r="11" spans="1:18" ht="24" customHeight="1" collapsed="1">
      <c r="A11" s="199"/>
      <c r="B11" s="199"/>
      <c r="C11" s="199" t="s">
        <v>24</v>
      </c>
      <c r="D11" s="10"/>
      <c r="E11" s="9" t="s">
        <v>118</v>
      </c>
      <c r="F11" s="8" t="s">
        <v>117</v>
      </c>
      <c r="G11" s="7">
        <f>G12+G13</f>
        <v>7670693</v>
      </c>
      <c r="H11" s="7">
        <f>H12+H13</f>
        <v>0</v>
      </c>
      <c r="I11" s="178">
        <f>I12+I13</f>
        <v>7670693</v>
      </c>
      <c r="J11" s="178"/>
      <c r="K11" s="178"/>
      <c r="L11" s="178">
        <f aca="true" t="shared" si="3" ref="L11:R11">L12+L13</f>
        <v>7670693</v>
      </c>
      <c r="M11" s="178"/>
      <c r="N11" s="178"/>
      <c r="O11" s="178">
        <f t="shared" si="3"/>
        <v>7670693</v>
      </c>
      <c r="P11" s="178">
        <f t="shared" si="3"/>
        <v>239891</v>
      </c>
      <c r="Q11" s="178">
        <f t="shared" si="3"/>
        <v>0</v>
      </c>
      <c r="R11" s="178">
        <f t="shared" si="3"/>
        <v>7910584</v>
      </c>
    </row>
    <row r="12" spans="1:18" ht="48" customHeight="1" hidden="1" outlineLevel="1">
      <c r="A12" s="200"/>
      <c r="B12" s="200"/>
      <c r="C12" s="200"/>
      <c r="D12" s="5" t="s">
        <v>8</v>
      </c>
      <c r="E12" s="26" t="s">
        <v>116</v>
      </c>
      <c r="F12" s="4" t="s">
        <v>115</v>
      </c>
      <c r="G12" s="3">
        <v>7567563</v>
      </c>
      <c r="H12" s="3"/>
      <c r="I12" s="149">
        <f>G12+H12</f>
        <v>7567563</v>
      </c>
      <c r="J12" s="149"/>
      <c r="K12" s="149"/>
      <c r="L12" s="149">
        <f>I12+J12</f>
        <v>7567563</v>
      </c>
      <c r="M12" s="149"/>
      <c r="N12" s="149"/>
      <c r="O12" s="149">
        <f>K12+L12</f>
        <v>7567563</v>
      </c>
      <c r="P12" s="149">
        <f>235656+1650+2585</f>
        <v>239891</v>
      </c>
      <c r="Q12" s="149"/>
      <c r="R12" s="149">
        <f>O12+P12+Q12</f>
        <v>7807454</v>
      </c>
    </row>
    <row r="13" spans="1:18" ht="24" customHeight="1" hidden="1" outlineLevel="1">
      <c r="A13" s="200"/>
      <c r="B13" s="200"/>
      <c r="C13" s="200"/>
      <c r="D13" s="5" t="s">
        <v>15</v>
      </c>
      <c r="E13" s="35" t="s">
        <v>114</v>
      </c>
      <c r="F13" s="4" t="s">
        <v>113</v>
      </c>
      <c r="G13" s="3">
        <v>103130</v>
      </c>
      <c r="H13" s="3"/>
      <c r="I13" s="149">
        <f>G13+H13</f>
        <v>103130</v>
      </c>
      <c r="J13" s="149"/>
      <c r="K13" s="149"/>
      <c r="L13" s="149">
        <f>I13+J13</f>
        <v>103130</v>
      </c>
      <c r="M13" s="149"/>
      <c r="N13" s="149"/>
      <c r="O13" s="149">
        <f>K13+L13</f>
        <v>103130</v>
      </c>
      <c r="P13" s="149"/>
      <c r="Q13" s="149"/>
      <c r="R13" s="149">
        <f>O13+P13+Q13</f>
        <v>103130</v>
      </c>
    </row>
    <row r="14" spans="1:18" ht="36.75" customHeight="1">
      <c r="A14" s="198"/>
      <c r="B14" s="198" t="s">
        <v>60</v>
      </c>
      <c r="C14" s="198"/>
      <c r="D14" s="14"/>
      <c r="E14" s="13" t="s">
        <v>112</v>
      </c>
      <c r="F14" s="12" t="s">
        <v>111</v>
      </c>
      <c r="G14" s="11">
        <f>G15</f>
        <v>1061395</v>
      </c>
      <c r="H14" s="11">
        <f>H15</f>
        <v>0</v>
      </c>
      <c r="I14" s="177">
        <f>I15</f>
        <v>1061395</v>
      </c>
      <c r="J14" s="177"/>
      <c r="K14" s="177"/>
      <c r="L14" s="177">
        <f aca="true" t="shared" si="4" ref="L14:Q14">L15</f>
        <v>1061395</v>
      </c>
      <c r="M14" s="177"/>
      <c r="N14" s="177"/>
      <c r="O14" s="177">
        <f t="shared" si="4"/>
        <v>1061395</v>
      </c>
      <c r="P14" s="177">
        <f t="shared" si="4"/>
        <v>0</v>
      </c>
      <c r="Q14" s="177">
        <f t="shared" si="4"/>
        <v>0</v>
      </c>
      <c r="R14" s="177">
        <f>R15</f>
        <v>1061395</v>
      </c>
    </row>
    <row r="15" spans="1:18" ht="37.5" collapsed="1">
      <c r="A15" s="199"/>
      <c r="B15" s="199"/>
      <c r="C15" s="199" t="s">
        <v>39</v>
      </c>
      <c r="D15" s="10"/>
      <c r="E15" s="27" t="s">
        <v>110</v>
      </c>
      <c r="F15" s="8" t="s">
        <v>109</v>
      </c>
      <c r="G15" s="7">
        <f>G16+G17+G18</f>
        <v>1061395</v>
      </c>
      <c r="H15" s="7">
        <f>H16+H17+H18</f>
        <v>0</v>
      </c>
      <c r="I15" s="178">
        <f>I16+I17+I18</f>
        <v>1061395</v>
      </c>
      <c r="J15" s="178"/>
      <c r="K15" s="178"/>
      <c r="L15" s="178">
        <f>L16+L17+L18</f>
        <v>1061395</v>
      </c>
      <c r="M15" s="178"/>
      <c r="N15" s="178"/>
      <c r="O15" s="178">
        <f>O16+O17+O18</f>
        <v>1061395</v>
      </c>
      <c r="P15" s="178"/>
      <c r="Q15" s="178"/>
      <c r="R15" s="178">
        <f>R16+R17+R18</f>
        <v>1061395</v>
      </c>
    </row>
    <row r="16" spans="1:18" ht="24" customHeight="1" hidden="1" outlineLevel="1">
      <c r="A16" s="200"/>
      <c r="B16" s="200"/>
      <c r="C16" s="200"/>
      <c r="D16" s="5" t="s">
        <v>2</v>
      </c>
      <c r="E16" s="26" t="s">
        <v>108</v>
      </c>
      <c r="F16" s="4" t="s">
        <v>107</v>
      </c>
      <c r="G16" s="3">
        <v>14089</v>
      </c>
      <c r="H16" s="3"/>
      <c r="I16" s="149">
        <f>G16+H16</f>
        <v>14089</v>
      </c>
      <c r="J16" s="149"/>
      <c r="K16" s="149"/>
      <c r="L16" s="149">
        <f>I16+J16</f>
        <v>14089</v>
      </c>
      <c r="M16" s="149"/>
      <c r="N16" s="149"/>
      <c r="O16" s="149">
        <f>K16+L16</f>
        <v>14089</v>
      </c>
      <c r="P16" s="149"/>
      <c r="Q16" s="149"/>
      <c r="R16" s="149">
        <f>N16+O16</f>
        <v>14089</v>
      </c>
    </row>
    <row r="17" spans="1:18" ht="24" customHeight="1" hidden="1" outlineLevel="1">
      <c r="A17" s="200"/>
      <c r="B17" s="200"/>
      <c r="C17" s="200"/>
      <c r="D17" s="5" t="s">
        <v>15</v>
      </c>
      <c r="E17" s="15" t="s">
        <v>106</v>
      </c>
      <c r="F17" s="4" t="s">
        <v>105</v>
      </c>
      <c r="G17" s="3">
        <v>65100</v>
      </c>
      <c r="H17" s="3"/>
      <c r="I17" s="149">
        <f>G17+H17</f>
        <v>65100</v>
      </c>
      <c r="J17" s="149"/>
      <c r="K17" s="149"/>
      <c r="L17" s="149">
        <f>I17+J17</f>
        <v>65100</v>
      </c>
      <c r="M17" s="149"/>
      <c r="N17" s="149"/>
      <c r="O17" s="149">
        <f>K17+L17</f>
        <v>65100</v>
      </c>
      <c r="P17" s="149"/>
      <c r="Q17" s="149"/>
      <c r="R17" s="149">
        <f>N17+O17</f>
        <v>65100</v>
      </c>
    </row>
    <row r="18" spans="1:18" ht="24" customHeight="1" hidden="1" outlineLevel="1">
      <c r="A18" s="200"/>
      <c r="B18" s="200"/>
      <c r="C18" s="200"/>
      <c r="D18" s="5" t="s">
        <v>104</v>
      </c>
      <c r="E18" s="15" t="s">
        <v>103</v>
      </c>
      <c r="F18" s="4" t="s">
        <v>102</v>
      </c>
      <c r="G18" s="3">
        <v>982206</v>
      </c>
      <c r="H18" s="3"/>
      <c r="I18" s="149">
        <f>G18+H18</f>
        <v>982206</v>
      </c>
      <c r="J18" s="149"/>
      <c r="K18" s="149"/>
      <c r="L18" s="149">
        <f>I18+J18</f>
        <v>982206</v>
      </c>
      <c r="M18" s="149"/>
      <c r="N18" s="149"/>
      <c r="O18" s="149">
        <f>K18+L18</f>
        <v>982206</v>
      </c>
      <c r="P18" s="149"/>
      <c r="Q18" s="149"/>
      <c r="R18" s="149">
        <f>N18+O18</f>
        <v>982206</v>
      </c>
    </row>
    <row r="19" spans="1:18" s="34" customFormat="1" ht="24" customHeight="1">
      <c r="A19" s="197" t="s">
        <v>24</v>
      </c>
      <c r="B19" s="197"/>
      <c r="C19" s="197"/>
      <c r="D19" s="21"/>
      <c r="E19" s="25" t="s">
        <v>101</v>
      </c>
      <c r="F19" s="19" t="s">
        <v>100</v>
      </c>
      <c r="G19" s="18">
        <f aca="true" t="shared" si="5" ref="G19:L19">G20+G33+G36+G39+G47</f>
        <v>48692</v>
      </c>
      <c r="H19" s="18">
        <f t="shared" si="5"/>
        <v>0</v>
      </c>
      <c r="I19" s="176">
        <f t="shared" si="5"/>
        <v>48692</v>
      </c>
      <c r="J19" s="176">
        <f t="shared" si="5"/>
        <v>5376.1</v>
      </c>
      <c r="K19" s="176">
        <f t="shared" si="5"/>
        <v>0</v>
      </c>
      <c r="L19" s="176">
        <f t="shared" si="5"/>
        <v>54068.1</v>
      </c>
      <c r="M19" s="176"/>
      <c r="N19" s="176">
        <f>N20+N33+N36+N39+N47</f>
        <v>0</v>
      </c>
      <c r="O19" s="176">
        <f>O20+O33+O36+O39+O47</f>
        <v>54068.1</v>
      </c>
      <c r="P19" s="176">
        <f>P20+P33+P36+P39+P47</f>
        <v>93673.3</v>
      </c>
      <c r="Q19" s="176">
        <f>Q20+Q33+Q36+Q39+Q47</f>
        <v>0</v>
      </c>
      <c r="R19" s="176">
        <f>R20+R33+R36+R39+R47</f>
        <v>147741.4</v>
      </c>
    </row>
    <row r="20" spans="1:18" ht="24" customHeight="1">
      <c r="A20" s="198"/>
      <c r="B20" s="198" t="s">
        <v>8</v>
      </c>
      <c r="C20" s="198"/>
      <c r="D20" s="14"/>
      <c r="E20" s="28" t="s">
        <v>99</v>
      </c>
      <c r="F20" s="12" t="s">
        <v>98</v>
      </c>
      <c r="G20" s="11">
        <f>G23+G28+G21</f>
        <v>37711</v>
      </c>
      <c r="H20" s="11">
        <f>H23+H28+H21</f>
        <v>0</v>
      </c>
      <c r="I20" s="177">
        <f>I23+I28+I21</f>
        <v>37711</v>
      </c>
      <c r="J20" s="177"/>
      <c r="K20" s="177"/>
      <c r="L20" s="177">
        <f>L23+L28+L21</f>
        <v>37711</v>
      </c>
      <c r="M20" s="177"/>
      <c r="N20" s="177"/>
      <c r="O20" s="177">
        <f>O23+O28+O21+O26</f>
        <v>37711</v>
      </c>
      <c r="P20" s="177">
        <f>P23+P28+P21+P26</f>
        <v>3519</v>
      </c>
      <c r="Q20" s="177">
        <f>Q23+Q28+Q21+Q26</f>
        <v>0</v>
      </c>
      <c r="R20" s="177">
        <f>R23+R28+R21+R26</f>
        <v>41230</v>
      </c>
    </row>
    <row r="21" spans="1:18" s="31" customFormat="1" ht="33.75" customHeight="1" collapsed="1">
      <c r="A21" s="199"/>
      <c r="B21" s="199"/>
      <c r="C21" s="199" t="s">
        <v>11</v>
      </c>
      <c r="D21" s="10"/>
      <c r="E21" s="24" t="s">
        <v>97</v>
      </c>
      <c r="F21" s="8" t="s">
        <v>96</v>
      </c>
      <c r="G21" s="7">
        <f>G22</f>
        <v>5090</v>
      </c>
      <c r="H21" s="7">
        <f>H22</f>
        <v>0</v>
      </c>
      <c r="I21" s="178">
        <f>I22</f>
        <v>5090</v>
      </c>
      <c r="J21" s="178"/>
      <c r="K21" s="178"/>
      <c r="L21" s="178">
        <f>L22</f>
        <v>5090</v>
      </c>
      <c r="M21" s="178"/>
      <c r="N21" s="178"/>
      <c r="O21" s="178">
        <f>O22</f>
        <v>5090</v>
      </c>
      <c r="P21" s="178"/>
      <c r="Q21" s="178"/>
      <c r="R21" s="178">
        <f>R22</f>
        <v>5090</v>
      </c>
    </row>
    <row r="22" spans="1:18" s="31" customFormat="1" ht="24" customHeight="1" hidden="1" outlineLevel="1">
      <c r="A22" s="201"/>
      <c r="B22" s="201"/>
      <c r="C22" s="201"/>
      <c r="D22" s="33" t="s">
        <v>5</v>
      </c>
      <c r="E22" s="29" t="s">
        <v>95</v>
      </c>
      <c r="F22" s="22" t="s">
        <v>94</v>
      </c>
      <c r="G22" s="32">
        <v>5090</v>
      </c>
      <c r="H22" s="32"/>
      <c r="I22" s="149">
        <f>G22+H22</f>
        <v>5090</v>
      </c>
      <c r="J22" s="149"/>
      <c r="K22" s="149"/>
      <c r="L22" s="149">
        <f>I22+J22</f>
        <v>5090</v>
      </c>
      <c r="M22" s="149"/>
      <c r="N22" s="149"/>
      <c r="O22" s="149">
        <f>K22+L22</f>
        <v>5090</v>
      </c>
      <c r="P22" s="149"/>
      <c r="Q22" s="149"/>
      <c r="R22" s="149">
        <f>N22+O22</f>
        <v>5090</v>
      </c>
    </row>
    <row r="23" spans="1:18" ht="36.75" customHeight="1" collapsed="1">
      <c r="A23" s="199"/>
      <c r="B23" s="199"/>
      <c r="C23" s="199" t="s">
        <v>48</v>
      </c>
      <c r="D23" s="10"/>
      <c r="E23" s="24" t="s">
        <v>93</v>
      </c>
      <c r="F23" s="8" t="s">
        <v>92</v>
      </c>
      <c r="G23" s="7">
        <f>G24+G25</f>
        <v>21197</v>
      </c>
      <c r="H23" s="7">
        <f>H24+H25</f>
        <v>0</v>
      </c>
      <c r="I23" s="178">
        <f>I24+I25</f>
        <v>21197</v>
      </c>
      <c r="J23" s="178"/>
      <c r="K23" s="178"/>
      <c r="L23" s="178">
        <f>L24+L25</f>
        <v>21197</v>
      </c>
      <c r="M23" s="178"/>
      <c r="N23" s="178"/>
      <c r="O23" s="178">
        <f>O24+O25</f>
        <v>21197</v>
      </c>
      <c r="P23" s="178"/>
      <c r="Q23" s="178"/>
      <c r="R23" s="178">
        <f>R24+R25</f>
        <v>21197</v>
      </c>
    </row>
    <row r="24" spans="1:18" ht="37.5" hidden="1" outlineLevel="1">
      <c r="A24" s="200"/>
      <c r="B24" s="200"/>
      <c r="C24" s="200"/>
      <c r="D24" s="5" t="s">
        <v>15</v>
      </c>
      <c r="E24" s="15" t="s">
        <v>91</v>
      </c>
      <c r="F24" s="4" t="s">
        <v>90</v>
      </c>
      <c r="G24" s="3">
        <v>20000</v>
      </c>
      <c r="H24" s="3"/>
      <c r="I24" s="149">
        <f>G24+H24</f>
        <v>20000</v>
      </c>
      <c r="J24" s="149"/>
      <c r="K24" s="149"/>
      <c r="L24" s="149">
        <f>I24+J24</f>
        <v>20000</v>
      </c>
      <c r="M24" s="149"/>
      <c r="N24" s="149"/>
      <c r="O24" s="149">
        <f>K24+L24</f>
        <v>20000</v>
      </c>
      <c r="P24" s="149"/>
      <c r="Q24" s="149"/>
      <c r="R24" s="149">
        <f>O24+P24+Q24</f>
        <v>20000</v>
      </c>
    </row>
    <row r="25" spans="1:18" ht="37.5" hidden="1" outlineLevel="1">
      <c r="A25" s="200"/>
      <c r="B25" s="200"/>
      <c r="C25" s="200"/>
      <c r="D25" s="5" t="s">
        <v>60</v>
      </c>
      <c r="E25" s="26" t="s">
        <v>89</v>
      </c>
      <c r="F25" s="4" t="s">
        <v>88</v>
      </c>
      <c r="G25" s="3">
        <v>1197</v>
      </c>
      <c r="H25" s="3"/>
      <c r="I25" s="149">
        <f>G25+H25</f>
        <v>1197</v>
      </c>
      <c r="J25" s="149"/>
      <c r="K25" s="149"/>
      <c r="L25" s="149">
        <f>I25+J25</f>
        <v>1197</v>
      </c>
      <c r="M25" s="149"/>
      <c r="N25" s="149"/>
      <c r="O25" s="149">
        <f>K25+L25</f>
        <v>1197</v>
      </c>
      <c r="P25" s="149"/>
      <c r="Q25" s="149"/>
      <c r="R25" s="149">
        <f>O25+P25+Q25</f>
        <v>1197</v>
      </c>
    </row>
    <row r="26" spans="1:19" ht="37.5" collapsed="1">
      <c r="A26" s="199"/>
      <c r="B26" s="199"/>
      <c r="C26" s="199" t="s">
        <v>87</v>
      </c>
      <c r="D26" s="10"/>
      <c r="E26" s="27" t="s">
        <v>86</v>
      </c>
      <c r="F26" s="27" t="s">
        <v>85</v>
      </c>
      <c r="G26" s="7"/>
      <c r="H26" s="7"/>
      <c r="I26" s="178"/>
      <c r="J26" s="178"/>
      <c r="K26" s="178"/>
      <c r="L26" s="178">
        <f>L27</f>
        <v>0</v>
      </c>
      <c r="M26" s="178">
        <f aca="true" t="shared" si="6" ref="M26:S26">M27</f>
        <v>0</v>
      </c>
      <c r="N26" s="178">
        <f t="shared" si="6"/>
        <v>0</v>
      </c>
      <c r="O26" s="178">
        <f t="shared" si="6"/>
        <v>0</v>
      </c>
      <c r="P26" s="178">
        <f t="shared" si="6"/>
        <v>2000</v>
      </c>
      <c r="Q26" s="178">
        <f t="shared" si="6"/>
        <v>0</v>
      </c>
      <c r="R26" s="178">
        <f t="shared" si="6"/>
        <v>2000</v>
      </c>
      <c r="S26" s="178">
        <f t="shared" si="6"/>
        <v>0</v>
      </c>
    </row>
    <row r="27" spans="1:18" ht="37.5" hidden="1" outlineLevel="1">
      <c r="A27" s="200"/>
      <c r="B27" s="200"/>
      <c r="C27" s="200"/>
      <c r="D27" s="5" t="s">
        <v>5</v>
      </c>
      <c r="E27" s="26" t="s">
        <v>84</v>
      </c>
      <c r="F27" s="26" t="s">
        <v>83</v>
      </c>
      <c r="G27" s="3"/>
      <c r="H27" s="3"/>
      <c r="I27" s="149">
        <f>G27+H27</f>
        <v>0</v>
      </c>
      <c r="J27" s="149"/>
      <c r="K27" s="149"/>
      <c r="L27" s="149">
        <f>I27+J27</f>
        <v>0</v>
      </c>
      <c r="M27" s="149"/>
      <c r="N27" s="149"/>
      <c r="O27" s="149">
        <f>K27+L27</f>
        <v>0</v>
      </c>
      <c r="P27" s="149">
        <v>2000</v>
      </c>
      <c r="Q27" s="149"/>
      <c r="R27" s="149">
        <f>O27+P27+Q27</f>
        <v>2000</v>
      </c>
    </row>
    <row r="28" spans="1:18" ht="37.5" customHeight="1" collapsed="1">
      <c r="A28" s="199"/>
      <c r="B28" s="199"/>
      <c r="C28" s="199" t="s">
        <v>45</v>
      </c>
      <c r="D28" s="10"/>
      <c r="E28" s="24" t="s">
        <v>82</v>
      </c>
      <c r="F28" s="8" t="s">
        <v>81</v>
      </c>
      <c r="G28" s="7">
        <f>G30+G31+G32</f>
        <v>11424</v>
      </c>
      <c r="H28" s="7">
        <f>H30+H31+H32</f>
        <v>0</v>
      </c>
      <c r="I28" s="178">
        <f>I30+I31+I32</f>
        <v>11424</v>
      </c>
      <c r="J28" s="178"/>
      <c r="K28" s="178"/>
      <c r="L28" s="178">
        <f>L30+L31+L32</f>
        <v>11424</v>
      </c>
      <c r="M28" s="178"/>
      <c r="N28" s="178"/>
      <c r="O28" s="178">
        <f>O30+O31+O32+O29</f>
        <v>11424</v>
      </c>
      <c r="P28" s="178">
        <f>P30+P31+P32+P29</f>
        <v>1519</v>
      </c>
      <c r="Q28" s="178">
        <f>Q30+Q31+Q32+Q29</f>
        <v>0</v>
      </c>
      <c r="R28" s="178">
        <f>R30+R31+R32+R29</f>
        <v>12943</v>
      </c>
    </row>
    <row r="29" spans="1:18" s="243" customFormat="1" ht="40.5" customHeight="1" hidden="1" outlineLevel="1">
      <c r="A29" s="237"/>
      <c r="B29" s="237"/>
      <c r="C29" s="237"/>
      <c r="D29" s="238" t="s">
        <v>2</v>
      </c>
      <c r="E29" s="239"/>
      <c r="F29" s="240" t="s">
        <v>571</v>
      </c>
      <c r="G29" s="241"/>
      <c r="H29" s="241"/>
      <c r="I29" s="242"/>
      <c r="J29" s="242"/>
      <c r="K29" s="242"/>
      <c r="L29" s="242"/>
      <c r="M29" s="242"/>
      <c r="N29" s="242"/>
      <c r="O29" s="242"/>
      <c r="P29" s="242">
        <v>48.7</v>
      </c>
      <c r="Q29" s="242"/>
      <c r="R29" s="149">
        <f>O29+P29+Q29</f>
        <v>48.7</v>
      </c>
    </row>
    <row r="30" spans="1:18" ht="40.5" customHeight="1" hidden="1" outlineLevel="1">
      <c r="A30" s="200"/>
      <c r="B30" s="200"/>
      <c r="C30" s="200"/>
      <c r="D30" s="5" t="s">
        <v>51</v>
      </c>
      <c r="E30" s="15" t="s">
        <v>80</v>
      </c>
      <c r="F30" s="4" t="s">
        <v>79</v>
      </c>
      <c r="G30" s="3">
        <v>11424</v>
      </c>
      <c r="H30" s="3"/>
      <c r="I30" s="149">
        <f>G30+H30</f>
        <v>11424</v>
      </c>
      <c r="J30" s="149"/>
      <c r="K30" s="149"/>
      <c r="L30" s="149">
        <f>I30+J30</f>
        <v>11424</v>
      </c>
      <c r="M30" s="149"/>
      <c r="N30" s="149"/>
      <c r="O30" s="149">
        <f>K30+L30</f>
        <v>11424</v>
      </c>
      <c r="P30" s="149">
        <v>1470.3</v>
      </c>
      <c r="Q30" s="149"/>
      <c r="R30" s="149">
        <f>O30+P30+Q30</f>
        <v>12894.3</v>
      </c>
    </row>
    <row r="31" spans="1:18" ht="56.25" hidden="1" outlineLevel="1">
      <c r="A31" s="200"/>
      <c r="B31" s="200"/>
      <c r="C31" s="200"/>
      <c r="D31" s="5" t="s">
        <v>78</v>
      </c>
      <c r="E31" s="30" t="s">
        <v>77</v>
      </c>
      <c r="F31" s="26" t="s">
        <v>76</v>
      </c>
      <c r="G31" s="3"/>
      <c r="H31" s="3"/>
      <c r="I31" s="149">
        <f>G31+H31</f>
        <v>0</v>
      </c>
      <c r="J31" s="149"/>
      <c r="K31" s="149"/>
      <c r="L31" s="149">
        <f>I31+J31</f>
        <v>0</v>
      </c>
      <c r="M31" s="149"/>
      <c r="N31" s="149"/>
      <c r="O31" s="149">
        <f>K31+L31</f>
        <v>0</v>
      </c>
      <c r="P31" s="149"/>
      <c r="Q31" s="149"/>
      <c r="R31" s="149">
        <f>O31+P31+Q31</f>
        <v>0</v>
      </c>
    </row>
    <row r="32" spans="1:18" ht="37.5" hidden="1" outlineLevel="1">
      <c r="A32" s="200"/>
      <c r="B32" s="200"/>
      <c r="C32" s="200"/>
      <c r="D32" s="5" t="s">
        <v>75</v>
      </c>
      <c r="E32" s="26" t="s">
        <v>74</v>
      </c>
      <c r="F32" s="26" t="s">
        <v>73</v>
      </c>
      <c r="G32" s="3"/>
      <c r="H32" s="3"/>
      <c r="I32" s="149">
        <f>G32+H32</f>
        <v>0</v>
      </c>
      <c r="J32" s="149"/>
      <c r="K32" s="149"/>
      <c r="L32" s="149">
        <f>I32+J32</f>
        <v>0</v>
      </c>
      <c r="M32" s="149"/>
      <c r="N32" s="149"/>
      <c r="O32" s="149">
        <f>K32+L32</f>
        <v>0</v>
      </c>
      <c r="P32" s="149"/>
      <c r="Q32" s="149"/>
      <c r="R32" s="149">
        <f>O32+P32+Q32</f>
        <v>0</v>
      </c>
    </row>
    <row r="33" spans="1:19" ht="58.5" customHeight="1">
      <c r="A33" s="198"/>
      <c r="B33" s="198" t="s">
        <v>5</v>
      </c>
      <c r="C33" s="198"/>
      <c r="D33" s="14"/>
      <c r="E33" s="13" t="s">
        <v>72</v>
      </c>
      <c r="F33" s="12" t="s">
        <v>71</v>
      </c>
      <c r="G33" s="11">
        <f aca="true" t="shared" si="7" ref="G33:I34">G34</f>
        <v>2782</v>
      </c>
      <c r="H33" s="11">
        <f t="shared" si="7"/>
        <v>0</v>
      </c>
      <c r="I33" s="179">
        <f t="shared" si="7"/>
        <v>2782</v>
      </c>
      <c r="J33" s="179"/>
      <c r="K33" s="179"/>
      <c r="L33" s="179">
        <f aca="true" t="shared" si="8" ref="L33:S34">L34</f>
        <v>2782</v>
      </c>
      <c r="M33" s="179"/>
      <c r="N33" s="179"/>
      <c r="O33" s="179">
        <f t="shared" si="8"/>
        <v>2782</v>
      </c>
      <c r="P33" s="179">
        <f t="shared" si="8"/>
        <v>0</v>
      </c>
      <c r="Q33" s="179">
        <f t="shared" si="8"/>
        <v>0</v>
      </c>
      <c r="R33" s="179">
        <f t="shared" si="8"/>
        <v>2782</v>
      </c>
      <c r="S33" s="179">
        <f t="shared" si="8"/>
        <v>0</v>
      </c>
    </row>
    <row r="34" spans="1:18" ht="75" collapsed="1">
      <c r="A34" s="199"/>
      <c r="B34" s="199"/>
      <c r="C34" s="199" t="s">
        <v>11</v>
      </c>
      <c r="D34" s="10"/>
      <c r="E34" s="24" t="s">
        <v>72</v>
      </c>
      <c r="F34" s="8" t="s">
        <v>71</v>
      </c>
      <c r="G34" s="7">
        <f t="shared" si="7"/>
        <v>2782</v>
      </c>
      <c r="H34" s="7">
        <f t="shared" si="7"/>
        <v>0</v>
      </c>
      <c r="I34" s="180">
        <f t="shared" si="7"/>
        <v>2782</v>
      </c>
      <c r="J34" s="180"/>
      <c r="K34" s="180"/>
      <c r="L34" s="180">
        <f t="shared" si="8"/>
        <v>2782</v>
      </c>
      <c r="M34" s="180"/>
      <c r="N34" s="180"/>
      <c r="O34" s="180">
        <f t="shared" si="8"/>
        <v>2782</v>
      </c>
      <c r="P34" s="180"/>
      <c r="Q34" s="180"/>
      <c r="R34" s="180">
        <f>R35</f>
        <v>2782</v>
      </c>
    </row>
    <row r="35" spans="1:18" ht="56.25" hidden="1" outlineLevel="1">
      <c r="A35" s="200"/>
      <c r="B35" s="200"/>
      <c r="C35" s="200"/>
      <c r="D35" s="5" t="s">
        <v>5</v>
      </c>
      <c r="E35" s="29" t="s">
        <v>70</v>
      </c>
      <c r="F35" s="4" t="s">
        <v>69</v>
      </c>
      <c r="G35" s="3">
        <v>2782</v>
      </c>
      <c r="H35" s="3"/>
      <c r="I35" s="149">
        <f>G35+H35</f>
        <v>2782</v>
      </c>
      <c r="J35" s="149"/>
      <c r="K35" s="149"/>
      <c r="L35" s="149">
        <f>I35+J35</f>
        <v>2782</v>
      </c>
      <c r="M35" s="149"/>
      <c r="N35" s="149"/>
      <c r="O35" s="149">
        <f>K35+L35</f>
        <v>2782</v>
      </c>
      <c r="P35" s="149"/>
      <c r="Q35" s="149"/>
      <c r="R35" s="149">
        <f>N35+O35</f>
        <v>2782</v>
      </c>
    </row>
    <row r="36" spans="1:18" ht="78" customHeight="1">
      <c r="A36" s="198"/>
      <c r="B36" s="198" t="s">
        <v>2</v>
      </c>
      <c r="C36" s="198"/>
      <c r="D36" s="14"/>
      <c r="E36" s="13" t="s">
        <v>68</v>
      </c>
      <c r="F36" s="12" t="s">
        <v>67</v>
      </c>
      <c r="G36" s="11">
        <f aca="true" t="shared" si="9" ref="G36:I37">G37</f>
        <v>288</v>
      </c>
      <c r="H36" s="11">
        <f t="shared" si="9"/>
        <v>0</v>
      </c>
      <c r="I36" s="177">
        <f t="shared" si="9"/>
        <v>288</v>
      </c>
      <c r="J36" s="177"/>
      <c r="K36" s="177"/>
      <c r="L36" s="177">
        <f aca="true" t="shared" si="10" ref="L36:R37">L37</f>
        <v>288</v>
      </c>
      <c r="M36" s="177"/>
      <c r="N36" s="177"/>
      <c r="O36" s="177">
        <f t="shared" si="10"/>
        <v>288</v>
      </c>
      <c r="P36" s="177">
        <f t="shared" si="10"/>
        <v>0</v>
      </c>
      <c r="Q36" s="177">
        <f t="shared" si="10"/>
        <v>0</v>
      </c>
      <c r="R36" s="177">
        <f t="shared" si="10"/>
        <v>288</v>
      </c>
    </row>
    <row r="37" spans="1:18" ht="77.25" customHeight="1" collapsed="1">
      <c r="A37" s="199"/>
      <c r="B37" s="199"/>
      <c r="C37" s="199" t="s">
        <v>11</v>
      </c>
      <c r="D37" s="10"/>
      <c r="E37" s="24" t="s">
        <v>68</v>
      </c>
      <c r="F37" s="8" t="s">
        <v>67</v>
      </c>
      <c r="G37" s="7">
        <f t="shared" si="9"/>
        <v>288</v>
      </c>
      <c r="H37" s="7">
        <f t="shared" si="9"/>
        <v>0</v>
      </c>
      <c r="I37" s="178">
        <f t="shared" si="9"/>
        <v>288</v>
      </c>
      <c r="J37" s="178"/>
      <c r="K37" s="178"/>
      <c r="L37" s="178">
        <f t="shared" si="10"/>
        <v>288</v>
      </c>
      <c r="M37" s="178"/>
      <c r="N37" s="178"/>
      <c r="O37" s="178">
        <f t="shared" si="10"/>
        <v>288</v>
      </c>
      <c r="P37" s="178"/>
      <c r="Q37" s="178"/>
      <c r="R37" s="178">
        <f>R38</f>
        <v>288</v>
      </c>
    </row>
    <row r="38" spans="1:18" ht="56.25" hidden="1" outlineLevel="1">
      <c r="A38" s="200"/>
      <c r="B38" s="200"/>
      <c r="C38" s="200"/>
      <c r="D38" s="5" t="s">
        <v>5</v>
      </c>
      <c r="E38" s="29" t="s">
        <v>66</v>
      </c>
      <c r="F38" s="4" t="s">
        <v>65</v>
      </c>
      <c r="G38" s="3">
        <v>288</v>
      </c>
      <c r="H38" s="3"/>
      <c r="I38" s="149">
        <f>G38+H38</f>
        <v>288</v>
      </c>
      <c r="J38" s="149"/>
      <c r="K38" s="149"/>
      <c r="L38" s="149">
        <f>I38+J38</f>
        <v>288</v>
      </c>
      <c r="M38" s="149"/>
      <c r="N38" s="149"/>
      <c r="O38" s="149">
        <f>K38+L38</f>
        <v>288</v>
      </c>
      <c r="P38" s="149"/>
      <c r="Q38" s="149"/>
      <c r="R38" s="149">
        <f>N38+O38</f>
        <v>288</v>
      </c>
    </row>
    <row r="39" spans="1:18" ht="99" customHeight="1">
      <c r="A39" s="198"/>
      <c r="B39" s="198" t="s">
        <v>15</v>
      </c>
      <c r="C39" s="198"/>
      <c r="D39" s="14"/>
      <c r="E39" s="13" t="s">
        <v>64</v>
      </c>
      <c r="F39" s="28" t="s">
        <v>63</v>
      </c>
      <c r="G39" s="11">
        <f>G40</f>
        <v>4355</v>
      </c>
      <c r="H39" s="11">
        <f>H40</f>
        <v>0</v>
      </c>
      <c r="I39" s="177">
        <f>I40</f>
        <v>4355</v>
      </c>
      <c r="J39" s="177">
        <f>J40</f>
        <v>5376.1</v>
      </c>
      <c r="K39" s="177"/>
      <c r="L39" s="177">
        <f>L40</f>
        <v>9731.1</v>
      </c>
      <c r="M39" s="177"/>
      <c r="N39" s="177"/>
      <c r="O39" s="177">
        <f>O40</f>
        <v>9731.1</v>
      </c>
      <c r="P39" s="177">
        <f>P40</f>
        <v>70807.7</v>
      </c>
      <c r="Q39" s="177">
        <f>Q40</f>
        <v>0</v>
      </c>
      <c r="R39" s="177">
        <f>R40</f>
        <v>80538.8</v>
      </c>
    </row>
    <row r="40" spans="1:18" ht="134.25" customHeight="1" collapsed="1">
      <c r="A40" s="199"/>
      <c r="B40" s="199"/>
      <c r="C40" s="199" t="s">
        <v>11</v>
      </c>
      <c r="D40" s="10"/>
      <c r="E40" s="27" t="s">
        <v>62</v>
      </c>
      <c r="F40" s="8" t="s">
        <v>61</v>
      </c>
      <c r="G40" s="7">
        <f>G41+G44+G45</f>
        <v>4355</v>
      </c>
      <c r="H40" s="7">
        <f>H41+H44+H45</f>
        <v>0</v>
      </c>
      <c r="I40" s="178">
        <f>I41+I44+I45+I46</f>
        <v>4355</v>
      </c>
      <c r="J40" s="178">
        <f>J41+J44+J45+J46</f>
        <v>5376.1</v>
      </c>
      <c r="K40" s="178"/>
      <c r="L40" s="178">
        <f>L41+L44+L45+L46</f>
        <v>9731.1</v>
      </c>
      <c r="M40" s="178"/>
      <c r="N40" s="178"/>
      <c r="O40" s="178">
        <f>O41+O44+O45+O46+O42+O43</f>
        <v>9731.1</v>
      </c>
      <c r="P40" s="178">
        <f>P41+P44+P45+P46+P42+P43</f>
        <v>70807.7</v>
      </c>
      <c r="Q40" s="178">
        <f>Q41+Q44+Q45+Q46+Q42+Q43</f>
        <v>0</v>
      </c>
      <c r="R40" s="178">
        <f>R41+R44+R45+R46+R42+R43</f>
        <v>80538.8</v>
      </c>
    </row>
    <row r="41" spans="1:18" ht="56.25" hidden="1" outlineLevel="1">
      <c r="A41" s="200"/>
      <c r="B41" s="200"/>
      <c r="C41" s="200"/>
      <c r="D41" s="5" t="s">
        <v>60</v>
      </c>
      <c r="E41" s="26" t="s">
        <v>59</v>
      </c>
      <c r="F41" s="26" t="s">
        <v>58</v>
      </c>
      <c r="G41" s="3">
        <v>702</v>
      </c>
      <c r="H41" s="3"/>
      <c r="I41" s="149">
        <f>G41+H41</f>
        <v>702</v>
      </c>
      <c r="J41" s="149"/>
      <c r="K41" s="149"/>
      <c r="L41" s="149">
        <f>I41+J41</f>
        <v>702</v>
      </c>
      <c r="M41" s="149"/>
      <c r="N41" s="149"/>
      <c r="O41" s="149">
        <f aca="true" t="shared" si="11" ref="O41:O46">K41+L41</f>
        <v>702</v>
      </c>
      <c r="P41" s="149"/>
      <c r="Q41" s="149"/>
      <c r="R41" s="149">
        <f aca="true" t="shared" si="12" ref="R41:R46">O41+P41+Q41</f>
        <v>702</v>
      </c>
    </row>
    <row r="42" spans="1:18" s="243" customFormat="1" ht="78.75" customHeight="1" hidden="1" outlineLevel="1">
      <c r="A42" s="237"/>
      <c r="B42" s="237"/>
      <c r="C42" s="237"/>
      <c r="D42" s="238" t="s">
        <v>51</v>
      </c>
      <c r="E42" s="244"/>
      <c r="F42" s="244" t="s">
        <v>572</v>
      </c>
      <c r="G42" s="241"/>
      <c r="H42" s="241"/>
      <c r="I42" s="242"/>
      <c r="J42" s="242"/>
      <c r="K42" s="242"/>
      <c r="L42" s="242"/>
      <c r="M42" s="242"/>
      <c r="N42" s="242"/>
      <c r="O42" s="242"/>
      <c r="P42" s="242">
        <v>68368</v>
      </c>
      <c r="Q42" s="242"/>
      <c r="R42" s="149">
        <f t="shared" si="12"/>
        <v>68368</v>
      </c>
    </row>
    <row r="43" spans="1:18" s="243" customFormat="1" ht="103.5" customHeight="1" hidden="1" outlineLevel="1">
      <c r="A43" s="237"/>
      <c r="B43" s="237"/>
      <c r="C43" s="237"/>
      <c r="D43" s="238" t="s">
        <v>574</v>
      </c>
      <c r="E43" s="244"/>
      <c r="F43" s="244" t="s">
        <v>573</v>
      </c>
      <c r="G43" s="241"/>
      <c r="H43" s="241"/>
      <c r="I43" s="242"/>
      <c r="J43" s="242"/>
      <c r="K43" s="242"/>
      <c r="L43" s="242"/>
      <c r="M43" s="242"/>
      <c r="N43" s="242"/>
      <c r="O43" s="242"/>
      <c r="P43" s="242">
        <v>2439.7</v>
      </c>
      <c r="Q43" s="242"/>
      <c r="R43" s="149">
        <f t="shared" si="12"/>
        <v>2439.7</v>
      </c>
    </row>
    <row r="44" spans="1:18" ht="37.5" hidden="1" outlineLevel="1">
      <c r="A44" s="200"/>
      <c r="B44" s="200"/>
      <c r="C44" s="200"/>
      <c r="D44" s="5" t="s">
        <v>57</v>
      </c>
      <c r="E44" s="15" t="s">
        <v>56</v>
      </c>
      <c r="F44" s="4" t="s">
        <v>55</v>
      </c>
      <c r="G44" s="3">
        <v>1156</v>
      </c>
      <c r="H44" s="3"/>
      <c r="I44" s="149">
        <f>G44+H44</f>
        <v>1156</v>
      </c>
      <c r="J44" s="149"/>
      <c r="K44" s="149"/>
      <c r="L44" s="149">
        <f>I44+J44</f>
        <v>1156</v>
      </c>
      <c r="M44" s="149"/>
      <c r="N44" s="149"/>
      <c r="O44" s="149">
        <f t="shared" si="11"/>
        <v>1156</v>
      </c>
      <c r="P44" s="149"/>
      <c r="Q44" s="149"/>
      <c r="R44" s="149">
        <f t="shared" si="12"/>
        <v>1156</v>
      </c>
    </row>
    <row r="45" spans="1:18" ht="56.25" hidden="1" outlineLevel="2">
      <c r="A45" s="200"/>
      <c r="B45" s="200"/>
      <c r="C45" s="200"/>
      <c r="D45" s="5" t="s">
        <v>54</v>
      </c>
      <c r="E45" s="26" t="s">
        <v>53</v>
      </c>
      <c r="F45" s="4" t="s">
        <v>52</v>
      </c>
      <c r="G45" s="3">
        <v>2497</v>
      </c>
      <c r="H45" s="3"/>
      <c r="I45" s="149">
        <f>G45+H45</f>
        <v>2497</v>
      </c>
      <c r="J45" s="149"/>
      <c r="K45" s="149"/>
      <c r="L45" s="149">
        <f>I45+J45</f>
        <v>2497</v>
      </c>
      <c r="M45" s="149"/>
      <c r="N45" s="149"/>
      <c r="O45" s="149">
        <f t="shared" si="11"/>
        <v>2497</v>
      </c>
      <c r="P45" s="149"/>
      <c r="Q45" s="149"/>
      <c r="R45" s="149">
        <f t="shared" si="12"/>
        <v>2497</v>
      </c>
    </row>
    <row r="46" spans="1:18" ht="75" hidden="1" outlineLevel="2">
      <c r="A46" s="200"/>
      <c r="B46" s="200"/>
      <c r="C46" s="200"/>
      <c r="D46" s="5"/>
      <c r="E46" s="165"/>
      <c r="F46" s="4" t="s">
        <v>541</v>
      </c>
      <c r="G46" s="3"/>
      <c r="H46" s="3"/>
      <c r="I46" s="149"/>
      <c r="J46" s="166">
        <v>5376.1</v>
      </c>
      <c r="K46" s="166"/>
      <c r="L46" s="149">
        <f>I46+J46</f>
        <v>5376.1</v>
      </c>
      <c r="M46" s="149"/>
      <c r="N46" s="166"/>
      <c r="O46" s="149">
        <f t="shared" si="11"/>
        <v>5376.1</v>
      </c>
      <c r="P46" s="149"/>
      <c r="Q46" s="166"/>
      <c r="R46" s="149">
        <f t="shared" si="12"/>
        <v>5376.1</v>
      </c>
    </row>
    <row r="47" spans="1:18" ht="25.5" customHeight="1">
      <c r="A47" s="198"/>
      <c r="B47" s="198" t="s">
        <v>51</v>
      </c>
      <c r="C47" s="198"/>
      <c r="D47" s="14"/>
      <c r="E47" s="13" t="s">
        <v>50</v>
      </c>
      <c r="F47" s="12" t="s">
        <v>49</v>
      </c>
      <c r="G47" s="11">
        <f>G48</f>
        <v>3556</v>
      </c>
      <c r="H47" s="11">
        <f>H48</f>
        <v>0</v>
      </c>
      <c r="I47" s="177">
        <f>I48</f>
        <v>3556</v>
      </c>
      <c r="J47" s="177"/>
      <c r="K47" s="177"/>
      <c r="L47" s="177">
        <f aca="true" t="shared" si="13" ref="L47:R47">L48</f>
        <v>3556</v>
      </c>
      <c r="M47" s="177"/>
      <c r="N47" s="177"/>
      <c r="O47" s="177">
        <f t="shared" si="13"/>
        <v>3556</v>
      </c>
      <c r="P47" s="177">
        <f t="shared" si="13"/>
        <v>19346.600000000002</v>
      </c>
      <c r="Q47" s="177">
        <f t="shared" si="13"/>
        <v>0</v>
      </c>
      <c r="R47" s="177">
        <f t="shared" si="13"/>
        <v>22902.6</v>
      </c>
    </row>
    <row r="48" spans="1:18" ht="29.25" customHeight="1" collapsed="1">
      <c r="A48" s="199"/>
      <c r="B48" s="199"/>
      <c r="C48" s="199" t="s">
        <v>11</v>
      </c>
      <c r="D48" s="10"/>
      <c r="E48" s="24" t="s">
        <v>50</v>
      </c>
      <c r="F48" s="8" t="s">
        <v>49</v>
      </c>
      <c r="G48" s="7">
        <f>G49+G50+G51</f>
        <v>3556</v>
      </c>
      <c r="H48" s="7">
        <f>H49+H50+H51</f>
        <v>0</v>
      </c>
      <c r="I48" s="178">
        <f>I49+I50+I51</f>
        <v>3556</v>
      </c>
      <c r="J48" s="178"/>
      <c r="K48" s="178"/>
      <c r="L48" s="178">
        <f aca="true" t="shared" si="14" ref="L48:R48">L49+L50+L51</f>
        <v>3556</v>
      </c>
      <c r="M48" s="178"/>
      <c r="N48" s="178"/>
      <c r="O48" s="178">
        <f t="shared" si="14"/>
        <v>3556</v>
      </c>
      <c r="P48" s="178">
        <f t="shared" si="14"/>
        <v>19346.600000000002</v>
      </c>
      <c r="Q48" s="178">
        <f t="shared" si="14"/>
        <v>0</v>
      </c>
      <c r="R48" s="178">
        <f t="shared" si="14"/>
        <v>22902.6</v>
      </c>
    </row>
    <row r="49" spans="1:18" ht="52.5" customHeight="1" hidden="1" outlineLevel="1">
      <c r="A49" s="202"/>
      <c r="B49" s="202"/>
      <c r="C49" s="202"/>
      <c r="D49" s="23" t="s">
        <v>48</v>
      </c>
      <c r="E49" s="15" t="s">
        <v>47</v>
      </c>
      <c r="F49" s="22" t="s">
        <v>46</v>
      </c>
      <c r="G49" s="16">
        <v>122</v>
      </c>
      <c r="H49" s="16"/>
      <c r="I49" s="166">
        <v>122</v>
      </c>
      <c r="J49" s="166"/>
      <c r="K49" s="166"/>
      <c r="L49" s="166">
        <v>122</v>
      </c>
      <c r="M49" s="166"/>
      <c r="N49" s="166"/>
      <c r="O49" s="166">
        <v>122</v>
      </c>
      <c r="P49" s="166"/>
      <c r="Q49" s="166"/>
      <c r="R49" s="166">
        <f>O49+P49+Q49</f>
        <v>122</v>
      </c>
    </row>
    <row r="50" spans="1:18" ht="41.25" customHeight="1" hidden="1" outlineLevel="1">
      <c r="A50" s="200"/>
      <c r="B50" s="200"/>
      <c r="C50" s="200"/>
      <c r="D50" s="5" t="s">
        <v>45</v>
      </c>
      <c r="E50" s="15" t="s">
        <v>44</v>
      </c>
      <c r="F50" s="4" t="s">
        <v>43</v>
      </c>
      <c r="G50" s="16">
        <v>342</v>
      </c>
      <c r="H50" s="16"/>
      <c r="I50" s="166">
        <v>342</v>
      </c>
      <c r="J50" s="166"/>
      <c r="K50" s="166"/>
      <c r="L50" s="166">
        <v>342</v>
      </c>
      <c r="M50" s="166"/>
      <c r="N50" s="166"/>
      <c r="O50" s="166">
        <v>342</v>
      </c>
      <c r="P50" s="166">
        <v>3740.4</v>
      </c>
      <c r="Q50" s="166"/>
      <c r="R50" s="166">
        <f>O50+P50+Q50</f>
        <v>4082.4</v>
      </c>
    </row>
    <row r="51" spans="1:18" ht="37.5" hidden="1" outlineLevel="1">
      <c r="A51" s="200"/>
      <c r="B51" s="200"/>
      <c r="C51" s="200"/>
      <c r="D51" s="5" t="s">
        <v>42</v>
      </c>
      <c r="E51" s="26" t="s">
        <v>41</v>
      </c>
      <c r="F51" s="4" t="s">
        <v>40</v>
      </c>
      <c r="G51" s="3">
        <v>3092</v>
      </c>
      <c r="H51" s="3"/>
      <c r="I51" s="181">
        <v>3092</v>
      </c>
      <c r="J51" s="181"/>
      <c r="K51" s="181"/>
      <c r="L51" s="181">
        <v>3092</v>
      </c>
      <c r="M51" s="181"/>
      <c r="N51" s="181"/>
      <c r="O51" s="181">
        <v>3092</v>
      </c>
      <c r="P51" s="181">
        <v>15606.2</v>
      </c>
      <c r="Q51" s="181"/>
      <c r="R51" s="166">
        <f>O51+P51+Q51</f>
        <v>18698.2</v>
      </c>
    </row>
    <row r="52" spans="1:18" ht="30" customHeight="1">
      <c r="A52" s="197" t="s">
        <v>39</v>
      </c>
      <c r="B52" s="197"/>
      <c r="C52" s="197"/>
      <c r="D52" s="21"/>
      <c r="E52" s="25" t="s">
        <v>38</v>
      </c>
      <c r="F52" s="19" t="s">
        <v>37</v>
      </c>
      <c r="G52" s="18">
        <f aca="true" t="shared" si="15" ref="G52:I53">G53</f>
        <v>2012</v>
      </c>
      <c r="H52" s="18">
        <f t="shared" si="15"/>
        <v>0</v>
      </c>
      <c r="I52" s="176">
        <f t="shared" si="15"/>
        <v>2012</v>
      </c>
      <c r="J52" s="176">
        <f aca="true" t="shared" si="16" ref="J52:R53">J53</f>
        <v>0</v>
      </c>
      <c r="K52" s="176"/>
      <c r="L52" s="176">
        <f t="shared" si="16"/>
        <v>2012</v>
      </c>
      <c r="M52" s="176"/>
      <c r="N52" s="176"/>
      <c r="O52" s="176">
        <f t="shared" si="16"/>
        <v>2012</v>
      </c>
      <c r="P52" s="176">
        <f t="shared" si="16"/>
        <v>930</v>
      </c>
      <c r="Q52" s="176">
        <f t="shared" si="16"/>
        <v>0</v>
      </c>
      <c r="R52" s="176">
        <f t="shared" si="16"/>
        <v>2942</v>
      </c>
    </row>
    <row r="53" spans="1:18" ht="46.5" customHeight="1">
      <c r="A53" s="198"/>
      <c r="B53" s="198" t="s">
        <v>8</v>
      </c>
      <c r="C53" s="198"/>
      <c r="D53" s="14"/>
      <c r="E53" s="13" t="s">
        <v>36</v>
      </c>
      <c r="F53" s="12" t="s">
        <v>34</v>
      </c>
      <c r="G53" s="11">
        <f t="shared" si="15"/>
        <v>2012</v>
      </c>
      <c r="H53" s="11">
        <f t="shared" si="15"/>
        <v>0</v>
      </c>
      <c r="I53" s="177">
        <f t="shared" si="15"/>
        <v>2012</v>
      </c>
      <c r="J53" s="177"/>
      <c r="K53" s="177"/>
      <c r="L53" s="177">
        <f t="shared" si="16"/>
        <v>2012</v>
      </c>
      <c r="M53" s="177"/>
      <c r="N53" s="177"/>
      <c r="O53" s="177">
        <f t="shared" si="16"/>
        <v>2012</v>
      </c>
      <c r="P53" s="177">
        <f t="shared" si="16"/>
        <v>930</v>
      </c>
      <c r="Q53" s="177">
        <f t="shared" si="16"/>
        <v>0</v>
      </c>
      <c r="R53" s="177">
        <f t="shared" si="16"/>
        <v>2942</v>
      </c>
    </row>
    <row r="54" spans="1:18" ht="47.25" customHeight="1" collapsed="1">
      <c r="A54" s="199"/>
      <c r="B54" s="199"/>
      <c r="C54" s="199" t="s">
        <v>11</v>
      </c>
      <c r="D54" s="10"/>
      <c r="E54" s="24" t="s">
        <v>35</v>
      </c>
      <c r="F54" s="8" t="s">
        <v>34</v>
      </c>
      <c r="G54" s="7">
        <f>G55+G56</f>
        <v>2012</v>
      </c>
      <c r="H54" s="7">
        <f>H55+H56</f>
        <v>0</v>
      </c>
      <c r="I54" s="182">
        <f>I55+I56</f>
        <v>2012</v>
      </c>
      <c r="J54" s="182"/>
      <c r="K54" s="182"/>
      <c r="L54" s="182">
        <f aca="true" t="shared" si="17" ref="L54:R54">L55+L56</f>
        <v>2012</v>
      </c>
      <c r="M54" s="182"/>
      <c r="N54" s="182"/>
      <c r="O54" s="182">
        <f t="shared" si="17"/>
        <v>2012</v>
      </c>
      <c r="P54" s="182">
        <f t="shared" si="17"/>
        <v>930</v>
      </c>
      <c r="Q54" s="182">
        <f t="shared" si="17"/>
        <v>0</v>
      </c>
      <c r="R54" s="182">
        <f t="shared" si="17"/>
        <v>2942</v>
      </c>
    </row>
    <row r="55" spans="1:18" ht="56.25" hidden="1" outlineLevel="1">
      <c r="A55" s="202"/>
      <c r="B55" s="202"/>
      <c r="C55" s="202"/>
      <c r="D55" s="23">
        <v>1</v>
      </c>
      <c r="E55" s="15" t="s">
        <v>33</v>
      </c>
      <c r="F55" s="22" t="s">
        <v>32</v>
      </c>
      <c r="G55" s="16"/>
      <c r="H55" s="16"/>
      <c r="I55" s="183">
        <f>G55+H55</f>
        <v>0</v>
      </c>
      <c r="J55" s="183"/>
      <c r="K55" s="183"/>
      <c r="L55" s="183">
        <f>I55+J55</f>
        <v>0</v>
      </c>
      <c r="M55" s="183"/>
      <c r="N55" s="183"/>
      <c r="O55" s="183">
        <f>K55+L55</f>
        <v>0</v>
      </c>
      <c r="P55" s="183"/>
      <c r="Q55" s="183"/>
      <c r="R55" s="183">
        <f>O55+P55+Q55</f>
        <v>0</v>
      </c>
    </row>
    <row r="56" spans="1:18" ht="56.25" hidden="1" outlineLevel="1">
      <c r="A56" s="200"/>
      <c r="B56" s="200"/>
      <c r="C56" s="200"/>
      <c r="D56" s="5">
        <v>2</v>
      </c>
      <c r="E56" s="15" t="s">
        <v>31</v>
      </c>
      <c r="F56" s="4" t="s">
        <v>30</v>
      </c>
      <c r="G56" s="16">
        <v>2012</v>
      </c>
      <c r="H56" s="16"/>
      <c r="I56" s="183">
        <f>G56+H56</f>
        <v>2012</v>
      </c>
      <c r="J56" s="183"/>
      <c r="K56" s="183"/>
      <c r="L56" s="183">
        <f>I56+J56</f>
        <v>2012</v>
      </c>
      <c r="M56" s="183"/>
      <c r="N56" s="183"/>
      <c r="O56" s="183">
        <f>K56+L56</f>
        <v>2012</v>
      </c>
      <c r="P56" s="183">
        <v>930</v>
      </c>
      <c r="Q56" s="183"/>
      <c r="R56" s="183">
        <f>O56+P56+Q56</f>
        <v>2942</v>
      </c>
    </row>
    <row r="57" spans="1:18" ht="30" customHeight="1">
      <c r="A57" s="197" t="s">
        <v>29</v>
      </c>
      <c r="B57" s="197"/>
      <c r="C57" s="197"/>
      <c r="D57" s="21"/>
      <c r="E57" s="20" t="s">
        <v>28</v>
      </c>
      <c r="F57" s="19" t="s">
        <v>27</v>
      </c>
      <c r="G57" s="18">
        <f aca="true" t="shared" si="18" ref="G57:L57">G58+G64</f>
        <v>50467398</v>
      </c>
      <c r="H57" s="18">
        <f t="shared" si="18"/>
        <v>31018800</v>
      </c>
      <c r="I57" s="150">
        <f t="shared" si="18"/>
        <v>81486198</v>
      </c>
      <c r="J57" s="150">
        <f t="shared" si="18"/>
        <v>3706192.7</v>
      </c>
      <c r="K57" s="150">
        <f t="shared" si="18"/>
        <v>-643882</v>
      </c>
      <c r="L57" s="150">
        <f t="shared" si="18"/>
        <v>84548508.7</v>
      </c>
      <c r="M57" s="150"/>
      <c r="N57" s="150">
        <f>N58+N64</f>
        <v>0</v>
      </c>
      <c r="O57" s="150">
        <f>O58+O64</f>
        <v>84548508.7</v>
      </c>
      <c r="P57" s="150">
        <f>P58+P64</f>
        <v>4086</v>
      </c>
      <c r="Q57" s="150">
        <f>Q58+Q64</f>
        <v>0</v>
      </c>
      <c r="R57" s="150">
        <f>R58+R64</f>
        <v>84552594.7</v>
      </c>
    </row>
    <row r="58" spans="1:18" ht="37.5">
      <c r="A58" s="198"/>
      <c r="B58" s="198" t="s">
        <v>8</v>
      </c>
      <c r="C58" s="198"/>
      <c r="D58" s="14"/>
      <c r="E58" s="13" t="s">
        <v>26</v>
      </c>
      <c r="F58" s="12" t="s">
        <v>25</v>
      </c>
      <c r="G58" s="11">
        <f aca="true" t="shared" si="19" ref="G58:I59">G59</f>
        <v>915339</v>
      </c>
      <c r="H58" s="11">
        <f t="shared" si="19"/>
        <v>0</v>
      </c>
      <c r="I58" s="177">
        <f t="shared" si="19"/>
        <v>915339</v>
      </c>
      <c r="J58" s="177">
        <f aca="true" t="shared" si="20" ref="J58:Q58">J59</f>
        <v>290790.69999999995</v>
      </c>
      <c r="K58" s="177"/>
      <c r="L58" s="177">
        <f t="shared" si="20"/>
        <v>1206129.7</v>
      </c>
      <c r="M58" s="177"/>
      <c r="N58" s="177"/>
      <c r="O58" s="177">
        <f t="shared" si="20"/>
        <v>1206129.7</v>
      </c>
      <c r="P58" s="177">
        <f t="shared" si="20"/>
        <v>0</v>
      </c>
      <c r="Q58" s="177">
        <f t="shared" si="20"/>
        <v>0</v>
      </c>
      <c r="R58" s="177">
        <f>R59</f>
        <v>1206129.7</v>
      </c>
    </row>
    <row r="59" spans="1:18" ht="34.5" customHeight="1" collapsed="1">
      <c r="A59" s="199"/>
      <c r="B59" s="199"/>
      <c r="C59" s="199" t="s">
        <v>24</v>
      </c>
      <c r="D59" s="10"/>
      <c r="E59" s="9" t="s">
        <v>23</v>
      </c>
      <c r="F59" s="8" t="s">
        <v>22</v>
      </c>
      <c r="G59" s="7">
        <f t="shared" si="19"/>
        <v>915339</v>
      </c>
      <c r="H59" s="7">
        <f t="shared" si="19"/>
        <v>0</v>
      </c>
      <c r="I59" s="178">
        <f t="shared" si="19"/>
        <v>915339</v>
      </c>
      <c r="J59" s="178">
        <f>J60+J61+J62+J63</f>
        <v>290790.69999999995</v>
      </c>
      <c r="K59" s="178"/>
      <c r="L59" s="178">
        <f>L60+L61+L62+L63</f>
        <v>1206129.7</v>
      </c>
      <c r="M59" s="178"/>
      <c r="N59" s="178"/>
      <c r="O59" s="178">
        <f>O60+O61+O62+O63</f>
        <v>1206129.7</v>
      </c>
      <c r="P59" s="178">
        <f>P60+P61+P62+P63</f>
        <v>0</v>
      </c>
      <c r="Q59" s="178">
        <f>Q60+Q61+Q62+Q63</f>
        <v>0</v>
      </c>
      <c r="R59" s="178">
        <f>R60+R61+R62+R63</f>
        <v>1206129.7</v>
      </c>
    </row>
    <row r="60" spans="1:18" ht="18.75" hidden="1" outlineLevel="1">
      <c r="A60" s="200"/>
      <c r="B60" s="200"/>
      <c r="C60" s="200"/>
      <c r="D60" s="5" t="s">
        <v>8</v>
      </c>
      <c r="E60" s="17" t="s">
        <v>21</v>
      </c>
      <c r="F60" s="4" t="s">
        <v>20</v>
      </c>
      <c r="G60" s="16">
        <v>915339</v>
      </c>
      <c r="H60" s="16"/>
      <c r="I60" s="149">
        <f>G60+H60</f>
        <v>915339</v>
      </c>
      <c r="J60" s="149"/>
      <c r="K60" s="149"/>
      <c r="L60" s="149">
        <f>I60+J60</f>
        <v>915339</v>
      </c>
      <c r="M60" s="149"/>
      <c r="N60" s="149"/>
      <c r="O60" s="149">
        <f>L60+M60+N60</f>
        <v>915339</v>
      </c>
      <c r="P60" s="149"/>
      <c r="Q60" s="149"/>
      <c r="R60" s="149">
        <f>O60+P60+Q60</f>
        <v>915339</v>
      </c>
    </row>
    <row r="61" spans="1:18" ht="45" customHeight="1" hidden="1" outlineLevel="1">
      <c r="A61" s="200"/>
      <c r="B61" s="200"/>
      <c r="C61" s="200"/>
      <c r="D61" s="5" t="s">
        <v>5</v>
      </c>
      <c r="E61" s="15" t="s">
        <v>19</v>
      </c>
      <c r="F61" s="4" t="s">
        <v>18</v>
      </c>
      <c r="G61" s="3"/>
      <c r="H61" s="3"/>
      <c r="I61" s="149">
        <f>G61+H61</f>
        <v>0</v>
      </c>
      <c r="J61" s="149">
        <f>276363.1+14427.6</f>
        <v>290790.69999999995</v>
      </c>
      <c r="K61" s="149"/>
      <c r="L61" s="149">
        <f>I61+J61</f>
        <v>290790.69999999995</v>
      </c>
      <c r="M61" s="149"/>
      <c r="N61" s="149"/>
      <c r="O61" s="149">
        <f>L61+M61+N61</f>
        <v>290790.69999999995</v>
      </c>
      <c r="P61" s="149"/>
      <c r="Q61" s="149"/>
      <c r="R61" s="149">
        <f>O61+P61+Q61</f>
        <v>290790.69999999995</v>
      </c>
    </row>
    <row r="62" spans="1:18" ht="37.5" hidden="1" outlineLevel="1">
      <c r="A62" s="200"/>
      <c r="B62" s="200"/>
      <c r="C62" s="200"/>
      <c r="D62" s="5" t="s">
        <v>2</v>
      </c>
      <c r="E62" s="15" t="s">
        <v>17</v>
      </c>
      <c r="F62" s="4" t="s">
        <v>16</v>
      </c>
      <c r="G62" s="3"/>
      <c r="H62" s="3"/>
      <c r="I62" s="149">
        <f>G62+H62</f>
        <v>0</v>
      </c>
      <c r="J62" s="149">
        <f>H62+I62</f>
        <v>0</v>
      </c>
      <c r="K62" s="149"/>
      <c r="L62" s="149">
        <f>I62+J62</f>
        <v>0</v>
      </c>
      <c r="M62" s="149"/>
      <c r="N62" s="149"/>
      <c r="O62" s="149">
        <f>L62+M62+N62</f>
        <v>0</v>
      </c>
      <c r="P62" s="149"/>
      <c r="Q62" s="149"/>
      <c r="R62" s="149">
        <f>O62+P62+Q62</f>
        <v>0</v>
      </c>
    </row>
    <row r="63" spans="1:18" ht="35.25" customHeight="1" hidden="1" outlineLevel="1">
      <c r="A63" s="200"/>
      <c r="B63" s="200"/>
      <c r="C63" s="200"/>
      <c r="D63" s="5" t="s">
        <v>15</v>
      </c>
      <c r="E63" s="15"/>
      <c r="F63" s="4" t="s">
        <v>14</v>
      </c>
      <c r="G63" s="3"/>
      <c r="H63" s="3"/>
      <c r="I63" s="149">
        <f>G63+H63</f>
        <v>0</v>
      </c>
      <c r="J63" s="149">
        <f>H63+I63</f>
        <v>0</v>
      </c>
      <c r="K63" s="149"/>
      <c r="L63" s="149">
        <f>I63+J63</f>
        <v>0</v>
      </c>
      <c r="M63" s="149"/>
      <c r="N63" s="149"/>
      <c r="O63" s="149">
        <f>L63+M63+N63</f>
        <v>0</v>
      </c>
      <c r="P63" s="149"/>
      <c r="Q63" s="149"/>
      <c r="R63" s="149">
        <f>O63+P63+Q63</f>
        <v>0</v>
      </c>
    </row>
    <row r="64" spans="1:18" ht="34.5" customHeight="1">
      <c r="A64" s="198"/>
      <c r="B64" s="198" t="s">
        <v>5</v>
      </c>
      <c r="C64" s="198"/>
      <c r="D64" s="14"/>
      <c r="E64" s="13" t="s">
        <v>13</v>
      </c>
      <c r="F64" s="12" t="s">
        <v>12</v>
      </c>
      <c r="G64" s="11">
        <f>G65</f>
        <v>49552059</v>
      </c>
      <c r="H64" s="11">
        <f>H65</f>
        <v>31018800</v>
      </c>
      <c r="I64" s="177">
        <f>I65</f>
        <v>80570859</v>
      </c>
      <c r="J64" s="177">
        <f aca="true" t="shared" si="21" ref="J64:R64">J65</f>
        <v>3415402</v>
      </c>
      <c r="K64" s="177">
        <f t="shared" si="21"/>
        <v>-643882</v>
      </c>
      <c r="L64" s="177">
        <f t="shared" si="21"/>
        <v>83342379</v>
      </c>
      <c r="M64" s="177"/>
      <c r="N64" s="177">
        <f t="shared" si="21"/>
        <v>0</v>
      </c>
      <c r="O64" s="177">
        <f t="shared" si="21"/>
        <v>83342379</v>
      </c>
      <c r="P64" s="177">
        <f t="shared" si="21"/>
        <v>4086</v>
      </c>
      <c r="Q64" s="177">
        <f t="shared" si="21"/>
        <v>0</v>
      </c>
      <c r="R64" s="177">
        <f t="shared" si="21"/>
        <v>83346465</v>
      </c>
    </row>
    <row r="65" spans="1:18" ht="35.25" customHeight="1" collapsed="1">
      <c r="A65" s="199"/>
      <c r="B65" s="199"/>
      <c r="C65" s="199" t="s">
        <v>11</v>
      </c>
      <c r="D65" s="10"/>
      <c r="E65" s="9" t="s">
        <v>10</v>
      </c>
      <c r="F65" s="8" t="s">
        <v>9</v>
      </c>
      <c r="G65" s="7">
        <f aca="true" t="shared" si="22" ref="G65:L65">SUM(G66:G68)</f>
        <v>49552059</v>
      </c>
      <c r="H65" s="7">
        <f t="shared" si="22"/>
        <v>31018800</v>
      </c>
      <c r="I65" s="178">
        <f t="shared" si="22"/>
        <v>80570859</v>
      </c>
      <c r="J65" s="178">
        <f t="shared" si="22"/>
        <v>3415402</v>
      </c>
      <c r="K65" s="178">
        <f t="shared" si="22"/>
        <v>-643882</v>
      </c>
      <c r="L65" s="178">
        <f t="shared" si="22"/>
        <v>83342379</v>
      </c>
      <c r="M65" s="178"/>
      <c r="N65" s="178">
        <f>SUM(N66:N68)</f>
        <v>0</v>
      </c>
      <c r="O65" s="178">
        <f>SUM(O66:O68)</f>
        <v>83342379</v>
      </c>
      <c r="P65" s="178">
        <f>SUM(P66:P68)</f>
        <v>4086</v>
      </c>
      <c r="Q65" s="178">
        <f>SUM(Q66:Q68)</f>
        <v>0</v>
      </c>
      <c r="R65" s="178">
        <f>SUM(R66:R68)</f>
        <v>83346465</v>
      </c>
    </row>
    <row r="66" spans="1:18" ht="28.5" customHeight="1" hidden="1" outlineLevel="1">
      <c r="A66" s="200"/>
      <c r="B66" s="200"/>
      <c r="C66" s="200"/>
      <c r="D66" s="5" t="s">
        <v>8</v>
      </c>
      <c r="E66" s="6" t="s">
        <v>7</v>
      </c>
      <c r="F66" s="4" t="s">
        <v>6</v>
      </c>
      <c r="G66" s="3"/>
      <c r="H66" s="3">
        <f>11349483+481034</f>
        <v>11830517</v>
      </c>
      <c r="I66" s="149">
        <f>G66+H66</f>
        <v>11830517</v>
      </c>
      <c r="J66" s="149">
        <f>681990+182052+6029+613631</f>
        <v>1483702</v>
      </c>
      <c r="K66" s="149">
        <v>-643882</v>
      </c>
      <c r="L66" s="149">
        <f>I66+J66+K66</f>
        <v>12670337</v>
      </c>
      <c r="M66" s="149"/>
      <c r="N66" s="149"/>
      <c r="O66" s="149">
        <f>L66+M66+N66</f>
        <v>12670337</v>
      </c>
      <c r="P66" s="149">
        <v>4086</v>
      </c>
      <c r="Q66" s="149"/>
      <c r="R66" s="149">
        <f>O66+P66+Q66</f>
        <v>12674423</v>
      </c>
    </row>
    <row r="67" spans="1:18" ht="28.5" customHeight="1" hidden="1" outlineLevel="1">
      <c r="A67" s="200"/>
      <c r="B67" s="200"/>
      <c r="C67" s="200"/>
      <c r="D67" s="5" t="s">
        <v>5</v>
      </c>
      <c r="E67" s="6" t="s">
        <v>4</v>
      </c>
      <c r="F67" s="4" t="s">
        <v>3</v>
      </c>
      <c r="G67" s="3"/>
      <c r="H67" s="3">
        <v>19188283</v>
      </c>
      <c r="I67" s="149">
        <f>G67+H67</f>
        <v>19188283</v>
      </c>
      <c r="J67" s="149">
        <f>174200+170000+1580000+7500</f>
        <v>1931700</v>
      </c>
      <c r="K67" s="149"/>
      <c r="L67" s="149">
        <f>I67+J67</f>
        <v>21119983</v>
      </c>
      <c r="M67" s="149"/>
      <c r="N67" s="149"/>
      <c r="O67" s="149">
        <f>L67+M67+N67</f>
        <v>21119983</v>
      </c>
      <c r="P67" s="149"/>
      <c r="Q67" s="149"/>
      <c r="R67" s="149">
        <f>O67+P67+Q67</f>
        <v>21119983</v>
      </c>
    </row>
    <row r="68" spans="1:18" ht="28.5" customHeight="1" hidden="1" outlineLevel="1">
      <c r="A68" s="200"/>
      <c r="B68" s="200"/>
      <c r="C68" s="200"/>
      <c r="D68" s="5" t="s">
        <v>2</v>
      </c>
      <c r="E68" s="4" t="s">
        <v>1</v>
      </c>
      <c r="F68" s="4" t="s">
        <v>0</v>
      </c>
      <c r="G68" s="3">
        <v>49552059</v>
      </c>
      <c r="H68" s="3"/>
      <c r="I68" s="149">
        <f>G68+H68</f>
        <v>49552059</v>
      </c>
      <c r="J68" s="149"/>
      <c r="K68" s="149"/>
      <c r="L68" s="149">
        <f>I68+J68</f>
        <v>49552059</v>
      </c>
      <c r="M68" s="149"/>
      <c r="N68" s="149"/>
      <c r="O68" s="149">
        <f>L68+M68+N68</f>
        <v>49552059</v>
      </c>
      <c r="P68" s="149"/>
      <c r="Q68" s="149"/>
      <c r="R68" s="149">
        <f>O68+P68+Q68</f>
        <v>49552059</v>
      </c>
    </row>
    <row r="69" spans="15:18" ht="18.75">
      <c r="O69" s="149">
        <f>L69+N69</f>
        <v>0</v>
      </c>
      <c r="R69" s="149">
        <f>O69+Q69</f>
        <v>0</v>
      </c>
    </row>
    <row r="90" ht="15.75"/>
    <row r="91" ht="15.75"/>
    <row r="92" ht="15.75"/>
    <row r="93" ht="15.75"/>
    <row r="94" ht="15.75"/>
    <row r="95" ht="15.75"/>
    <row r="96" ht="15.75"/>
    <row r="97" ht="15.75"/>
    <row r="98" ht="15.75"/>
    <row r="99" ht="15.75"/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</sheetData>
  <sheetProtection/>
  <mergeCells count="22">
    <mergeCell ref="J5:J6"/>
    <mergeCell ref="L5:L6"/>
    <mergeCell ref="I3:J3"/>
    <mergeCell ref="I5:I6"/>
    <mergeCell ref="F1:R1"/>
    <mergeCell ref="P5:P6"/>
    <mergeCell ref="F2:R2"/>
    <mergeCell ref="H5:H6"/>
    <mergeCell ref="K5:K6"/>
    <mergeCell ref="K3:L3"/>
    <mergeCell ref="A2:E2"/>
    <mergeCell ref="A1:E1"/>
    <mergeCell ref="A5:A6"/>
    <mergeCell ref="B5:B6"/>
    <mergeCell ref="C5:C6"/>
    <mergeCell ref="G5:G6"/>
    <mergeCell ref="Q5:Q6"/>
    <mergeCell ref="R5:R6"/>
    <mergeCell ref="M3:O3"/>
    <mergeCell ref="N5:N6"/>
    <mergeCell ref="O5:O6"/>
    <mergeCell ref="M5:M6"/>
  </mergeCells>
  <printOptions horizontalCentered="1"/>
  <pageMargins left="1.0236220472440944" right="0.5511811023622047" top="0.8661417322834646" bottom="0.984251968503937" header="0.1968503937007874" footer="0.2362204724409449"/>
  <pageSetup blackAndWhite="1" horizontalDpi="600" verticalDpi="600" orientation="portrait" paperSize="9" scale="74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HU298"/>
  <sheetViews>
    <sheetView view="pageBreakPreview" zoomScale="88" zoomScaleSheetLayoutView="88" zoomScalePageLayoutView="0" workbookViewId="0" topLeftCell="A256">
      <selection activeCell="R276" sqref="R276"/>
    </sheetView>
  </sheetViews>
  <sheetFormatPr defaultColWidth="9.140625" defaultRowHeight="15" outlineLevelRow="1"/>
  <cols>
    <col min="1" max="1" width="5.7109375" style="57" customWidth="1"/>
    <col min="2" max="2" width="8.7109375" style="57" customWidth="1"/>
    <col min="3" max="3" width="6.421875" style="57" customWidth="1"/>
    <col min="4" max="4" width="66.57421875" style="56" hidden="1" customWidth="1"/>
    <col min="5" max="5" width="66.57421875" style="56" customWidth="1"/>
    <col min="6" max="6" width="21.57421875" style="55" hidden="1" customWidth="1"/>
    <col min="7" max="7" width="21.57421875" style="54" hidden="1" customWidth="1"/>
    <col min="8" max="8" width="21.57421875" style="155" hidden="1" customWidth="1"/>
    <col min="9" max="9" width="4.7109375" style="155" hidden="1" customWidth="1"/>
    <col min="10" max="10" width="21.57421875" style="155" hidden="1" customWidth="1" collapsed="1"/>
    <col min="11" max="11" width="21.00390625" style="155" hidden="1" customWidth="1"/>
    <col min="12" max="13" width="20.28125" style="236" hidden="1" customWidth="1"/>
    <col min="14" max="14" width="21.00390625" style="236" hidden="1" customWidth="1"/>
    <col min="15" max="15" width="19.8515625" style="155" hidden="1" customWidth="1"/>
    <col min="16" max="16" width="19.57421875" style="155" hidden="1" customWidth="1"/>
    <col min="17" max="17" width="20.7109375" style="155" hidden="1" customWidth="1"/>
    <col min="18" max="18" width="20.7109375" style="155" customWidth="1"/>
    <col min="19" max="19" width="13.28125" style="54" hidden="1" customWidth="1"/>
    <col min="20" max="20" width="9.140625" style="54" customWidth="1"/>
    <col min="21" max="21" width="11.7109375" style="54" customWidth="1"/>
    <col min="22" max="22" width="9.140625" style="54" customWidth="1"/>
    <col min="23" max="23" width="13.140625" style="54" customWidth="1"/>
    <col min="24" max="24" width="9.00390625" style="54" customWidth="1"/>
    <col min="25" max="25" width="9.140625" style="54" customWidth="1"/>
    <col min="26" max="16384" width="9.140625" style="54" customWidth="1"/>
  </cols>
  <sheetData>
    <row r="1" spans="1:30" s="136" customFormat="1" ht="163.5" customHeight="1">
      <c r="A1" s="139" t="s">
        <v>594</v>
      </c>
      <c r="B1" s="139" t="s">
        <v>595</v>
      </c>
      <c r="C1" s="138" t="s">
        <v>596</v>
      </c>
      <c r="D1" s="137" t="s">
        <v>531</v>
      </c>
      <c r="E1" s="137" t="s">
        <v>126</v>
      </c>
      <c r="F1" s="253" t="s">
        <v>130</v>
      </c>
      <c r="G1" s="253" t="s">
        <v>129</v>
      </c>
      <c r="H1" s="253" t="s">
        <v>128</v>
      </c>
      <c r="I1" s="253"/>
      <c r="J1" s="253" t="s">
        <v>539</v>
      </c>
      <c r="K1" s="253" t="s">
        <v>542</v>
      </c>
      <c r="L1" s="215" t="s">
        <v>128</v>
      </c>
      <c r="M1" s="215" t="s">
        <v>544</v>
      </c>
      <c r="N1" s="215" t="s">
        <v>543</v>
      </c>
      <c r="O1" s="253" t="s">
        <v>128</v>
      </c>
      <c r="P1" s="253" t="s">
        <v>544</v>
      </c>
      <c r="Q1" s="253" t="s">
        <v>543</v>
      </c>
      <c r="R1" s="253" t="s">
        <v>590</v>
      </c>
      <c r="S1" s="253"/>
      <c r="AD1" s="195"/>
    </row>
    <row r="2" spans="1:18" s="134" customFormat="1" ht="19.5" customHeight="1">
      <c r="A2" s="135">
        <v>1</v>
      </c>
      <c r="B2" s="135">
        <v>2</v>
      </c>
      <c r="C2" s="135">
        <v>3</v>
      </c>
      <c r="D2" s="135">
        <v>4</v>
      </c>
      <c r="E2" s="135">
        <v>5</v>
      </c>
      <c r="F2" s="135"/>
      <c r="G2" s="135"/>
      <c r="H2" s="186">
        <v>6</v>
      </c>
      <c r="I2" s="186"/>
      <c r="J2" s="186">
        <v>6</v>
      </c>
      <c r="K2" s="186">
        <v>6</v>
      </c>
      <c r="L2" s="216">
        <v>6</v>
      </c>
      <c r="M2" s="216"/>
      <c r="N2" s="217"/>
      <c r="O2" s="135">
        <v>6</v>
      </c>
      <c r="P2" s="135"/>
      <c r="Q2" s="186"/>
      <c r="R2" s="135">
        <v>5</v>
      </c>
    </row>
    <row r="3" spans="1:19" s="126" customFormat="1" ht="22.5" customHeight="1">
      <c r="A3" s="88"/>
      <c r="B3" s="89"/>
      <c r="C3" s="88"/>
      <c r="D3" s="87" t="s">
        <v>530</v>
      </c>
      <c r="E3" s="87" t="s">
        <v>529</v>
      </c>
      <c r="F3" s="86">
        <f>F4+F21+F27+F43+F76+F106+F122+F140+F172+F175+F205+F218+F227+F249</f>
        <v>59221921</v>
      </c>
      <c r="G3" s="86">
        <f>G4+G21+G27+G43+G76+G106+G122+G140+G172+G175+G205+G218+G227+G249</f>
        <v>31018800</v>
      </c>
      <c r="H3" s="147">
        <f>H4+H21+H27+H43+H76+H106+H122+H140+H172+H175+H205+H218+H227+H249</f>
        <v>90240721</v>
      </c>
      <c r="I3" s="147"/>
      <c r="J3" s="147">
        <f aca="true" t="shared" si="0" ref="J3:O3">J4+J21+J27+J43+J76+J106+J122+J140+J172+J175+J205+J218+J227+J249</f>
        <v>6164495.9</v>
      </c>
      <c r="K3" s="147">
        <f t="shared" si="0"/>
        <v>-987554</v>
      </c>
      <c r="L3" s="218">
        <f t="shared" si="0"/>
        <v>95417662.9</v>
      </c>
      <c r="M3" s="218">
        <f t="shared" si="0"/>
        <v>444870</v>
      </c>
      <c r="N3" s="218">
        <f t="shared" si="0"/>
        <v>-444870</v>
      </c>
      <c r="O3" s="147">
        <f t="shared" si="0"/>
        <v>95417662.9</v>
      </c>
      <c r="P3" s="147">
        <f>P4+P21+P27+P43+P76+P106+P122+P140+P172+P175+P205+P218+P227+P249+P246</f>
        <v>856188.7999999999</v>
      </c>
      <c r="Q3" s="147">
        <f>Q4+Q21+Q27+Q43+Q76+Q106+Q122+Q140+Q172+Q175+Q205+Q218+Q227+Q249+Q246</f>
        <v>-838720.5</v>
      </c>
      <c r="R3" s="147">
        <f>R4+R21+R27+R43+R76+R106+R122+R140+R172+R175+R205+R218+R227+R249+R246</f>
        <v>95435131.20000002</v>
      </c>
      <c r="S3" s="212"/>
    </row>
    <row r="4" spans="1:19" s="126" customFormat="1" ht="18.75">
      <c r="A4" s="131">
        <v>1</v>
      </c>
      <c r="B4" s="131"/>
      <c r="C4" s="130"/>
      <c r="D4" s="129" t="s">
        <v>528</v>
      </c>
      <c r="E4" s="129" t="s">
        <v>527</v>
      </c>
      <c r="F4" s="133">
        <f>F5+F8+F13+F17</f>
        <v>1131435</v>
      </c>
      <c r="G4" s="133">
        <f>G5+G8+G13+G17</f>
        <v>0</v>
      </c>
      <c r="H4" s="151">
        <f>H5+H8+H13+H17</f>
        <v>1131435</v>
      </c>
      <c r="I4" s="151"/>
      <c r="J4" s="151">
        <f>J5+J8+J13+J17</f>
        <v>0</v>
      </c>
      <c r="K4" s="151">
        <f>K5+K8+K13+K17</f>
        <v>0</v>
      </c>
      <c r="L4" s="219">
        <f>L5+L8+L13+L17</f>
        <v>1131435</v>
      </c>
      <c r="M4" s="219"/>
      <c r="N4" s="219">
        <f>N5+N8+N13+N17</f>
        <v>-344870</v>
      </c>
      <c r="O4" s="151">
        <f>O5+O8+O13+O17</f>
        <v>786565</v>
      </c>
      <c r="P4" s="151">
        <f>P5+P8+P13+P17</f>
        <v>1000</v>
      </c>
      <c r="Q4" s="151">
        <f>Q5+Q8+Q13+Q17</f>
        <v>-25186.4</v>
      </c>
      <c r="R4" s="151">
        <f>R5+R8+R13+R17</f>
        <v>762378.6</v>
      </c>
      <c r="S4" s="212"/>
    </row>
    <row r="5" spans="1:19" s="126" customFormat="1" ht="18.75">
      <c r="A5" s="67"/>
      <c r="B5" s="67">
        <v>110</v>
      </c>
      <c r="C5" s="67"/>
      <c r="D5" s="65" t="s">
        <v>526</v>
      </c>
      <c r="E5" s="65" t="s">
        <v>525</v>
      </c>
      <c r="F5" s="121">
        <f>SUM(F6:F7)</f>
        <v>71444</v>
      </c>
      <c r="G5" s="121">
        <f>SUM(G6:G7)</f>
        <v>0</v>
      </c>
      <c r="H5" s="152">
        <f>SUM(H6:H7)</f>
        <v>71444</v>
      </c>
      <c r="I5" s="152"/>
      <c r="J5" s="152">
        <f>SUM(J6:J7)</f>
        <v>0</v>
      </c>
      <c r="K5" s="152">
        <f>SUM(K6:K7)</f>
        <v>0</v>
      </c>
      <c r="L5" s="220">
        <f>SUM(L6:L7)</f>
        <v>71444</v>
      </c>
      <c r="M5" s="220"/>
      <c r="N5" s="220">
        <f>SUM(N6:N7)</f>
        <v>0</v>
      </c>
      <c r="O5" s="152">
        <f>SUM(O6:O7)</f>
        <v>71444</v>
      </c>
      <c r="P5" s="152">
        <f>SUM(P6:P7)</f>
        <v>0</v>
      </c>
      <c r="Q5" s="152">
        <f>SUM(Q6:Q7)</f>
        <v>-1.6</v>
      </c>
      <c r="R5" s="152">
        <f>SUM(R6:R7)</f>
        <v>71442.4</v>
      </c>
      <c r="S5" s="212"/>
    </row>
    <row r="6" spans="1:19" s="126" customFormat="1" ht="35.25" customHeight="1">
      <c r="A6" s="213"/>
      <c r="B6" s="120"/>
      <c r="C6" s="119">
        <v>1</v>
      </c>
      <c r="D6" s="118" t="s">
        <v>524</v>
      </c>
      <c r="E6" s="118" t="s">
        <v>523</v>
      </c>
      <c r="F6" s="117">
        <v>56436</v>
      </c>
      <c r="G6" s="117"/>
      <c r="H6" s="146">
        <f>F6+G6</f>
        <v>56436</v>
      </c>
      <c r="I6" s="146"/>
      <c r="J6" s="146"/>
      <c r="K6" s="146"/>
      <c r="L6" s="154">
        <f>H6+J6</f>
        <v>56436</v>
      </c>
      <c r="M6" s="154"/>
      <c r="N6" s="154"/>
      <c r="O6" s="146">
        <f>L6+N6</f>
        <v>56436</v>
      </c>
      <c r="P6" s="146"/>
      <c r="Q6" s="146">
        <f>-1.6</f>
        <v>-1.6</v>
      </c>
      <c r="R6" s="146">
        <f>O6+P6+Q6</f>
        <v>56434.4</v>
      </c>
      <c r="S6" s="212"/>
    </row>
    <row r="7" spans="1:19" s="126" customFormat="1" ht="18.75">
      <c r="A7" s="120"/>
      <c r="B7" s="120"/>
      <c r="C7" s="119">
        <v>3</v>
      </c>
      <c r="D7" s="118" t="s">
        <v>219</v>
      </c>
      <c r="E7" s="118" t="s">
        <v>218</v>
      </c>
      <c r="F7" s="117">
        <v>15008</v>
      </c>
      <c r="G7" s="117"/>
      <c r="H7" s="146">
        <f>F7+G7</f>
        <v>15008</v>
      </c>
      <c r="I7" s="146"/>
      <c r="J7" s="146"/>
      <c r="K7" s="146"/>
      <c r="L7" s="154">
        <f>H7+J7</f>
        <v>15008</v>
      </c>
      <c r="M7" s="154"/>
      <c r="N7" s="154"/>
      <c r="O7" s="146">
        <f>L7+N7</f>
        <v>15008</v>
      </c>
      <c r="P7" s="146"/>
      <c r="Q7" s="146"/>
      <c r="R7" s="146">
        <f>O7+P7+Q7</f>
        <v>15008</v>
      </c>
      <c r="S7" s="212"/>
    </row>
    <row r="8" spans="1:19" s="126" customFormat="1" ht="18.75">
      <c r="A8" s="67"/>
      <c r="B8" s="67">
        <v>120</v>
      </c>
      <c r="C8" s="67"/>
      <c r="D8" s="65" t="s">
        <v>522</v>
      </c>
      <c r="E8" s="65" t="s">
        <v>521</v>
      </c>
      <c r="F8" s="121">
        <f>SUM(F9:F12)</f>
        <v>817095</v>
      </c>
      <c r="G8" s="121">
        <f>SUM(G9:G12)</f>
        <v>0</v>
      </c>
      <c r="H8" s="152">
        <f>SUM(H9:H12)</f>
        <v>817095</v>
      </c>
      <c r="I8" s="152"/>
      <c r="J8" s="152">
        <f>SUM(J9:J12)</f>
        <v>0</v>
      </c>
      <c r="K8" s="152">
        <f>SUM(K9:K12)</f>
        <v>0</v>
      </c>
      <c r="L8" s="220">
        <f>SUM(L9:L12)</f>
        <v>817095</v>
      </c>
      <c r="M8" s="220"/>
      <c r="N8" s="220">
        <f>SUM(N9:N12)</f>
        <v>-344870</v>
      </c>
      <c r="O8" s="152">
        <f>SUM(O9:O12)</f>
        <v>472225</v>
      </c>
      <c r="P8" s="152">
        <f>SUM(P9:P12)</f>
        <v>0</v>
      </c>
      <c r="Q8" s="152">
        <f>SUM(Q9:Q12)</f>
        <v>-184.8</v>
      </c>
      <c r="R8" s="152">
        <f>SUM(R9:R12)</f>
        <v>472040.2</v>
      </c>
      <c r="S8" s="212"/>
    </row>
    <row r="9" spans="1:19" s="126" customFormat="1" ht="37.5">
      <c r="A9" s="120"/>
      <c r="B9" s="120"/>
      <c r="C9" s="119">
        <v>1</v>
      </c>
      <c r="D9" s="118" t="s">
        <v>520</v>
      </c>
      <c r="E9" s="118" t="s">
        <v>519</v>
      </c>
      <c r="F9" s="117">
        <v>305532</v>
      </c>
      <c r="G9" s="117"/>
      <c r="H9" s="146">
        <f>F9+G9</f>
        <v>305532</v>
      </c>
      <c r="I9" s="146"/>
      <c r="J9" s="146"/>
      <c r="K9" s="146"/>
      <c r="L9" s="154">
        <f>H9+J9</f>
        <v>305532</v>
      </c>
      <c r="M9" s="154"/>
      <c r="N9" s="154"/>
      <c r="O9" s="146">
        <f>L9+N9</f>
        <v>305532</v>
      </c>
      <c r="P9" s="146"/>
      <c r="Q9" s="146">
        <f>-184.8</f>
        <v>-184.8</v>
      </c>
      <c r="R9" s="146">
        <f>O9+P9+Q9</f>
        <v>305347.2</v>
      </c>
      <c r="S9" s="212"/>
    </row>
    <row r="10" spans="1:19" s="126" customFormat="1" ht="18.75">
      <c r="A10" s="120"/>
      <c r="B10" s="120"/>
      <c r="C10" s="119">
        <v>2</v>
      </c>
      <c r="D10" s="118" t="s">
        <v>318</v>
      </c>
      <c r="E10" s="118" t="s">
        <v>317</v>
      </c>
      <c r="F10" s="117">
        <v>419</v>
      </c>
      <c r="G10" s="117"/>
      <c r="H10" s="146">
        <f>F10+G10</f>
        <v>419</v>
      </c>
      <c r="I10" s="146"/>
      <c r="J10" s="146"/>
      <c r="K10" s="146"/>
      <c r="L10" s="154">
        <f>H10+J10</f>
        <v>419</v>
      </c>
      <c r="M10" s="154"/>
      <c r="N10" s="154"/>
      <c r="O10" s="146">
        <f>L10+N10</f>
        <v>419</v>
      </c>
      <c r="P10" s="146"/>
      <c r="Q10" s="146"/>
      <c r="R10" s="146">
        <f>O10+P10+Q10</f>
        <v>419</v>
      </c>
      <c r="S10" s="212"/>
    </row>
    <row r="11" spans="1:19" s="126" customFormat="1" ht="73.5" customHeight="1">
      <c r="A11" s="120"/>
      <c r="B11" s="120"/>
      <c r="C11" s="119">
        <v>3</v>
      </c>
      <c r="D11" s="118" t="s">
        <v>518</v>
      </c>
      <c r="E11" s="118" t="s">
        <v>517</v>
      </c>
      <c r="F11" s="117">
        <v>480136</v>
      </c>
      <c r="G11" s="117"/>
      <c r="H11" s="146">
        <f>F11+G11</f>
        <v>480136</v>
      </c>
      <c r="I11" s="146"/>
      <c r="J11" s="146"/>
      <c r="K11" s="146"/>
      <c r="L11" s="154">
        <f>H11+J11</f>
        <v>480136</v>
      </c>
      <c r="M11" s="154"/>
      <c r="N11" s="154">
        <v>-344870</v>
      </c>
      <c r="O11" s="146">
        <f>L11+N11</f>
        <v>135266</v>
      </c>
      <c r="P11" s="146"/>
      <c r="Q11" s="146"/>
      <c r="R11" s="146">
        <f>O11+P11+Q11</f>
        <v>135266</v>
      </c>
      <c r="S11" s="212"/>
    </row>
    <row r="12" spans="1:19" s="126" customFormat="1" ht="18.75">
      <c r="A12" s="120"/>
      <c r="B12" s="120"/>
      <c r="C12" s="119">
        <v>4</v>
      </c>
      <c r="D12" s="118" t="s">
        <v>219</v>
      </c>
      <c r="E12" s="118" t="s">
        <v>218</v>
      </c>
      <c r="F12" s="117">
        <v>31008</v>
      </c>
      <c r="G12" s="117"/>
      <c r="H12" s="146">
        <f>F12+G12</f>
        <v>31008</v>
      </c>
      <c r="I12" s="146"/>
      <c r="J12" s="146"/>
      <c r="K12" s="146"/>
      <c r="L12" s="154">
        <f>H12+J12</f>
        <v>31008</v>
      </c>
      <c r="M12" s="154"/>
      <c r="N12" s="154"/>
      <c r="O12" s="146">
        <f>L12+N12</f>
        <v>31008</v>
      </c>
      <c r="P12" s="146"/>
      <c r="Q12" s="146"/>
      <c r="R12" s="146">
        <f>O12+P12+Q12</f>
        <v>31008</v>
      </c>
      <c r="S12" s="212"/>
    </row>
    <row r="13" spans="1:19" s="126" customFormat="1" ht="18.75">
      <c r="A13" s="67"/>
      <c r="B13" s="67">
        <v>257</v>
      </c>
      <c r="C13" s="67"/>
      <c r="D13" s="65" t="s">
        <v>137</v>
      </c>
      <c r="E13" s="65" t="s">
        <v>136</v>
      </c>
      <c r="F13" s="121">
        <f>SUM(F14:F16)</f>
        <v>95325</v>
      </c>
      <c r="G13" s="121">
        <f>SUM(G14:G16)</f>
        <v>0</v>
      </c>
      <c r="H13" s="152">
        <f>SUM(H14:H16)</f>
        <v>95325</v>
      </c>
      <c r="I13" s="152"/>
      <c r="J13" s="152">
        <f>SUM(J14:J16)</f>
        <v>0</v>
      </c>
      <c r="K13" s="152">
        <f>SUM(K14:K16)</f>
        <v>0</v>
      </c>
      <c r="L13" s="220">
        <f>SUM(L14:L16)</f>
        <v>95325</v>
      </c>
      <c r="M13" s="220"/>
      <c r="N13" s="220">
        <f>SUM(N14:N16)</f>
        <v>0</v>
      </c>
      <c r="O13" s="152">
        <f>SUM(O14:O16)</f>
        <v>95325</v>
      </c>
      <c r="P13" s="152">
        <f>SUM(P14:P16)</f>
        <v>0</v>
      </c>
      <c r="Q13" s="152">
        <f>SUM(Q14:Q16)</f>
        <v>0</v>
      </c>
      <c r="R13" s="152">
        <f>SUM(R14:R16)</f>
        <v>95325</v>
      </c>
      <c r="S13" s="212"/>
    </row>
    <row r="14" spans="1:19" s="126" customFormat="1" ht="56.25">
      <c r="A14" s="120"/>
      <c r="B14" s="120"/>
      <c r="C14" s="119">
        <v>1</v>
      </c>
      <c r="D14" s="118" t="s">
        <v>516</v>
      </c>
      <c r="E14" s="118" t="s">
        <v>515</v>
      </c>
      <c r="F14" s="117">
        <v>88609</v>
      </c>
      <c r="G14" s="117"/>
      <c r="H14" s="146">
        <f>F14+G14</f>
        <v>88609</v>
      </c>
      <c r="I14" s="146"/>
      <c r="J14" s="146"/>
      <c r="K14" s="146"/>
      <c r="L14" s="154">
        <f>H14+J14</f>
        <v>88609</v>
      </c>
      <c r="M14" s="154"/>
      <c r="N14" s="154"/>
      <c r="O14" s="146">
        <f aca="true" t="shared" si="1" ref="O14:O20">L14+N14</f>
        <v>88609</v>
      </c>
      <c r="P14" s="146"/>
      <c r="Q14" s="146"/>
      <c r="R14" s="146">
        <f>O14+P14+Q14</f>
        <v>88609</v>
      </c>
      <c r="S14" s="212"/>
    </row>
    <row r="15" spans="1:19" s="126" customFormat="1" ht="37.5" customHeight="1">
      <c r="A15" s="120"/>
      <c r="B15" s="120"/>
      <c r="C15" s="119">
        <v>9</v>
      </c>
      <c r="D15" s="118" t="s">
        <v>514</v>
      </c>
      <c r="E15" s="118" t="s">
        <v>513</v>
      </c>
      <c r="F15" s="117">
        <v>6316</v>
      </c>
      <c r="G15" s="117"/>
      <c r="H15" s="146">
        <f>F15+G15</f>
        <v>6316</v>
      </c>
      <c r="I15" s="146"/>
      <c r="J15" s="146"/>
      <c r="K15" s="146"/>
      <c r="L15" s="154">
        <f>H15+J15</f>
        <v>6316</v>
      </c>
      <c r="M15" s="154"/>
      <c r="N15" s="154"/>
      <c r="O15" s="146">
        <f t="shared" si="1"/>
        <v>6316</v>
      </c>
      <c r="P15" s="146"/>
      <c r="Q15" s="146"/>
      <c r="R15" s="146">
        <f>O15+P15+Q15</f>
        <v>6316</v>
      </c>
      <c r="S15" s="212"/>
    </row>
    <row r="16" spans="1:19" s="126" customFormat="1" ht="18.75">
      <c r="A16" s="120"/>
      <c r="B16" s="120"/>
      <c r="C16" s="119">
        <v>13</v>
      </c>
      <c r="D16" s="118" t="s">
        <v>219</v>
      </c>
      <c r="E16" s="118" t="s">
        <v>218</v>
      </c>
      <c r="F16" s="117">
        <v>400</v>
      </c>
      <c r="G16" s="117"/>
      <c r="H16" s="146">
        <f>F16+G16</f>
        <v>400</v>
      </c>
      <c r="I16" s="146"/>
      <c r="J16" s="146"/>
      <c r="K16" s="146"/>
      <c r="L16" s="154">
        <f>H16+J16</f>
        <v>400</v>
      </c>
      <c r="M16" s="154"/>
      <c r="N16" s="154"/>
      <c r="O16" s="146">
        <f t="shared" si="1"/>
        <v>400</v>
      </c>
      <c r="P16" s="146"/>
      <c r="Q16" s="146"/>
      <c r="R16" s="146">
        <f>O16+P16+Q16</f>
        <v>400</v>
      </c>
      <c r="S16" s="212"/>
    </row>
    <row r="17" spans="1:19" s="126" customFormat="1" ht="37.5">
      <c r="A17" s="67"/>
      <c r="B17" s="67">
        <v>258</v>
      </c>
      <c r="C17" s="67"/>
      <c r="D17" s="65" t="s">
        <v>173</v>
      </c>
      <c r="E17" s="65" t="s">
        <v>172</v>
      </c>
      <c r="F17" s="121">
        <f>SUM(F18:F20)</f>
        <v>147571</v>
      </c>
      <c r="G17" s="121">
        <f>SUM(G18:G20)</f>
        <v>0</v>
      </c>
      <c r="H17" s="152">
        <f>SUM(H18:H20)</f>
        <v>147571</v>
      </c>
      <c r="I17" s="152"/>
      <c r="J17" s="152">
        <f>SUM(J18:J20)</f>
        <v>0</v>
      </c>
      <c r="K17" s="152">
        <f>SUM(K18:K20)</f>
        <v>0</v>
      </c>
      <c r="L17" s="221">
        <f>SUM(L18:L20)</f>
        <v>147571</v>
      </c>
      <c r="M17" s="221"/>
      <c r="N17" s="220">
        <f>SUM(N18:N20)</f>
        <v>0</v>
      </c>
      <c r="O17" s="206">
        <f>SUM(O18:O20)</f>
        <v>147571</v>
      </c>
      <c r="P17" s="206">
        <f>SUM(P18:P20)</f>
        <v>1000</v>
      </c>
      <c r="Q17" s="206">
        <f>SUM(Q18:Q20)</f>
        <v>-25000</v>
      </c>
      <c r="R17" s="206">
        <f>SUM(R18:R20)</f>
        <v>123571</v>
      </c>
      <c r="S17" s="212"/>
    </row>
    <row r="18" spans="1:19" s="126" customFormat="1" ht="75">
      <c r="A18" s="120"/>
      <c r="B18" s="120"/>
      <c r="C18" s="119">
        <v>1</v>
      </c>
      <c r="D18" s="118" t="s">
        <v>512</v>
      </c>
      <c r="E18" s="118" t="s">
        <v>511</v>
      </c>
      <c r="F18" s="117">
        <v>116311</v>
      </c>
      <c r="G18" s="117"/>
      <c r="H18" s="146">
        <f>F18+G18</f>
        <v>116311</v>
      </c>
      <c r="I18" s="146"/>
      <c r="J18" s="146"/>
      <c r="K18" s="146"/>
      <c r="L18" s="222">
        <f>H18+J18</f>
        <v>116311</v>
      </c>
      <c r="M18" s="222"/>
      <c r="N18" s="154"/>
      <c r="O18" s="146">
        <f t="shared" si="1"/>
        <v>116311</v>
      </c>
      <c r="P18" s="204">
        <v>1000</v>
      </c>
      <c r="Q18" s="146"/>
      <c r="R18" s="146">
        <f>O18+P18+Q18</f>
        <v>117311</v>
      </c>
      <c r="S18" s="212"/>
    </row>
    <row r="19" spans="1:19" s="126" customFormat="1" ht="18.75">
      <c r="A19" s="120"/>
      <c r="B19" s="120"/>
      <c r="C19" s="119">
        <v>2</v>
      </c>
      <c r="D19" s="118" t="s">
        <v>318</v>
      </c>
      <c r="E19" s="118" t="s">
        <v>317</v>
      </c>
      <c r="F19" s="117">
        <v>25160</v>
      </c>
      <c r="G19" s="117"/>
      <c r="H19" s="146">
        <f>F19+G19</f>
        <v>25160</v>
      </c>
      <c r="I19" s="146"/>
      <c r="J19" s="146"/>
      <c r="K19" s="146"/>
      <c r="L19" s="154">
        <f>H19+J19</f>
        <v>25160</v>
      </c>
      <c r="M19" s="154"/>
      <c r="N19" s="154"/>
      <c r="O19" s="146">
        <f t="shared" si="1"/>
        <v>25160</v>
      </c>
      <c r="P19" s="146"/>
      <c r="Q19" s="146">
        <f>-25000</f>
        <v>-25000</v>
      </c>
      <c r="R19" s="146">
        <f>O19+P19+Q19</f>
        <v>160</v>
      </c>
      <c r="S19" s="212"/>
    </row>
    <row r="20" spans="1:19" s="126" customFormat="1" ht="18.75">
      <c r="A20" s="120"/>
      <c r="B20" s="120"/>
      <c r="C20" s="119">
        <v>5</v>
      </c>
      <c r="D20" s="118" t="s">
        <v>219</v>
      </c>
      <c r="E20" s="118" t="s">
        <v>218</v>
      </c>
      <c r="F20" s="117">
        <v>6100</v>
      </c>
      <c r="G20" s="117"/>
      <c r="H20" s="146">
        <f>F20+G20</f>
        <v>6100</v>
      </c>
      <c r="I20" s="146"/>
      <c r="J20" s="146"/>
      <c r="K20" s="146"/>
      <c r="L20" s="154">
        <f>H20+J20</f>
        <v>6100</v>
      </c>
      <c r="M20" s="154"/>
      <c r="N20" s="154"/>
      <c r="O20" s="146">
        <f t="shared" si="1"/>
        <v>6100</v>
      </c>
      <c r="P20" s="146"/>
      <c r="Q20" s="146"/>
      <c r="R20" s="146">
        <f>O20+P20+Q20</f>
        <v>6100</v>
      </c>
      <c r="S20" s="212"/>
    </row>
    <row r="21" spans="1:19" s="126" customFormat="1" ht="18.75">
      <c r="A21" s="131">
        <v>2</v>
      </c>
      <c r="B21" s="131"/>
      <c r="C21" s="130"/>
      <c r="D21" s="129" t="s">
        <v>510</v>
      </c>
      <c r="E21" s="129" t="s">
        <v>509</v>
      </c>
      <c r="F21" s="133">
        <f>F22</f>
        <v>436791</v>
      </c>
      <c r="G21" s="133">
        <f>G22</f>
        <v>0</v>
      </c>
      <c r="H21" s="151">
        <f>H22</f>
        <v>436791</v>
      </c>
      <c r="I21" s="151"/>
      <c r="J21" s="151">
        <f>J22</f>
        <v>13047.1</v>
      </c>
      <c r="K21" s="151">
        <f>K22</f>
        <v>0</v>
      </c>
      <c r="L21" s="219">
        <f>L22</f>
        <v>449838.1</v>
      </c>
      <c r="M21" s="219"/>
      <c r="N21" s="219">
        <f>N22</f>
        <v>0</v>
      </c>
      <c r="O21" s="151">
        <f>O22</f>
        <v>449838.1</v>
      </c>
      <c r="P21" s="151">
        <f>P22</f>
        <v>473.8</v>
      </c>
      <c r="Q21" s="151">
        <f>Q22</f>
        <v>-76219.1</v>
      </c>
      <c r="R21" s="151">
        <f>R22</f>
        <v>374092.8</v>
      </c>
      <c r="S21" s="212"/>
    </row>
    <row r="22" spans="1:19" s="126" customFormat="1" ht="56.25">
      <c r="A22" s="67"/>
      <c r="B22" s="67">
        <v>250</v>
      </c>
      <c r="C22" s="67"/>
      <c r="D22" s="65" t="s">
        <v>508</v>
      </c>
      <c r="E22" s="65" t="s">
        <v>507</v>
      </c>
      <c r="F22" s="121">
        <f>SUM(F23:F26)</f>
        <v>436791</v>
      </c>
      <c r="G22" s="121">
        <f>SUM(G23:G26)</f>
        <v>0</v>
      </c>
      <c r="H22" s="152">
        <f>SUM(H23:H26)</f>
        <v>436791</v>
      </c>
      <c r="I22" s="152"/>
      <c r="J22" s="152">
        <f>SUM(J23:J26)</f>
        <v>13047.1</v>
      </c>
      <c r="K22" s="152">
        <f>SUM(K23:K26)</f>
        <v>0</v>
      </c>
      <c r="L22" s="220">
        <f>SUM(L23:L26)</f>
        <v>449838.1</v>
      </c>
      <c r="M22" s="220"/>
      <c r="N22" s="220">
        <f>SUM(N23:N26)</f>
        <v>0</v>
      </c>
      <c r="O22" s="152">
        <f>SUM(O23:O26)</f>
        <v>449838.1</v>
      </c>
      <c r="P22" s="152">
        <f>SUM(P23:P26)</f>
        <v>473.8</v>
      </c>
      <c r="Q22" s="152">
        <f>SUM(Q23:Q26)</f>
        <v>-76219.1</v>
      </c>
      <c r="R22" s="152">
        <f>SUM(R23:R26)</f>
        <v>374092.8</v>
      </c>
      <c r="S22" s="212"/>
    </row>
    <row r="23" spans="1:19" s="126" customFormat="1" ht="93.75">
      <c r="A23" s="120"/>
      <c r="B23" s="120"/>
      <c r="C23" s="119">
        <v>1</v>
      </c>
      <c r="D23" s="118" t="s">
        <v>506</v>
      </c>
      <c r="E23" s="118" t="s">
        <v>505</v>
      </c>
      <c r="F23" s="117">
        <v>29780</v>
      </c>
      <c r="G23" s="117"/>
      <c r="H23" s="146">
        <f>F23+G23</f>
        <v>29780</v>
      </c>
      <c r="I23" s="146"/>
      <c r="J23" s="146"/>
      <c r="K23" s="146"/>
      <c r="L23" s="154">
        <f>H23+J23</f>
        <v>29780</v>
      </c>
      <c r="M23" s="154"/>
      <c r="N23" s="154"/>
      <c r="O23" s="146">
        <f>L23+N23</f>
        <v>29780</v>
      </c>
      <c r="P23" s="146"/>
      <c r="Q23" s="146">
        <f>-140</f>
        <v>-140</v>
      </c>
      <c r="R23" s="146">
        <f>O23+P23+Q23</f>
        <v>29640</v>
      </c>
      <c r="S23" s="212"/>
    </row>
    <row r="24" spans="1:19" s="126" customFormat="1" ht="37.5">
      <c r="A24" s="120"/>
      <c r="B24" s="120"/>
      <c r="C24" s="119">
        <v>3</v>
      </c>
      <c r="D24" s="118" t="s">
        <v>504</v>
      </c>
      <c r="E24" s="118" t="s">
        <v>503</v>
      </c>
      <c r="F24" s="117">
        <v>4085</v>
      </c>
      <c r="G24" s="117"/>
      <c r="H24" s="146">
        <f>F24+G24</f>
        <v>4085</v>
      </c>
      <c r="I24" s="146"/>
      <c r="J24" s="146"/>
      <c r="K24" s="146"/>
      <c r="L24" s="154">
        <f>H24+J24</f>
        <v>4085</v>
      </c>
      <c r="M24" s="154"/>
      <c r="N24" s="154"/>
      <c r="O24" s="146">
        <f>L24+N24</f>
        <v>4085</v>
      </c>
      <c r="P24" s="146"/>
      <c r="Q24" s="146">
        <f>-149</f>
        <v>-149</v>
      </c>
      <c r="R24" s="146">
        <f>O24+P24+Q24</f>
        <v>3936</v>
      </c>
      <c r="S24" s="212"/>
    </row>
    <row r="25" spans="1:19" s="126" customFormat="1" ht="37.5">
      <c r="A25" s="120"/>
      <c r="B25" s="120"/>
      <c r="C25" s="119">
        <v>5</v>
      </c>
      <c r="D25" s="118" t="s">
        <v>502</v>
      </c>
      <c r="E25" s="118" t="s">
        <v>501</v>
      </c>
      <c r="F25" s="117">
        <v>40043</v>
      </c>
      <c r="G25" s="117"/>
      <c r="H25" s="146">
        <f>F25+G25</f>
        <v>40043</v>
      </c>
      <c r="I25" s="146"/>
      <c r="J25" s="146"/>
      <c r="K25" s="146"/>
      <c r="L25" s="154">
        <f>H25+J25</f>
        <v>40043</v>
      </c>
      <c r="M25" s="154"/>
      <c r="N25" s="154"/>
      <c r="O25" s="146">
        <f>L25+N25</f>
        <v>40043</v>
      </c>
      <c r="P25" s="146">
        <f>473.8</f>
        <v>473.8</v>
      </c>
      <c r="Q25" s="146"/>
      <c r="R25" s="146">
        <f>O25+P25+Q25</f>
        <v>40516.8</v>
      </c>
      <c r="S25" s="212"/>
    </row>
    <row r="26" spans="1:19" s="126" customFormat="1" ht="37.5">
      <c r="A26" s="187"/>
      <c r="B26" s="187"/>
      <c r="C26" s="188">
        <v>6</v>
      </c>
      <c r="D26" s="189" t="s">
        <v>500</v>
      </c>
      <c r="E26" s="189" t="s">
        <v>499</v>
      </c>
      <c r="F26" s="190">
        <f>367398+1-4516</f>
        <v>362883</v>
      </c>
      <c r="G26" s="190"/>
      <c r="H26" s="185">
        <f>F26+G26</f>
        <v>362883</v>
      </c>
      <c r="I26" s="185"/>
      <c r="J26" s="185">
        <v>13047.1</v>
      </c>
      <c r="K26" s="185"/>
      <c r="L26" s="154">
        <f>H26+J26</f>
        <v>375930.1</v>
      </c>
      <c r="M26" s="154"/>
      <c r="N26" s="154"/>
      <c r="O26" s="146">
        <f>L26+N26</f>
        <v>375930.1</v>
      </c>
      <c r="P26" s="185"/>
      <c r="Q26" s="185">
        <f>-50000-25930.1</f>
        <v>-75930.1</v>
      </c>
      <c r="R26" s="171">
        <f>O26+P26+Q26</f>
        <v>300000</v>
      </c>
      <c r="S26" s="212"/>
    </row>
    <row r="27" spans="1:19" s="126" customFormat="1" ht="39" customHeight="1">
      <c r="A27" s="131">
        <v>3</v>
      </c>
      <c r="B27" s="131"/>
      <c r="C27" s="130"/>
      <c r="D27" s="129" t="s">
        <v>498</v>
      </c>
      <c r="E27" s="129" t="s">
        <v>497</v>
      </c>
      <c r="F27" s="128">
        <f>F28+F40</f>
        <v>3631867</v>
      </c>
      <c r="G27" s="128">
        <f>G28+G40</f>
        <v>370407</v>
      </c>
      <c r="H27" s="153">
        <f>H28+H40</f>
        <v>4002274</v>
      </c>
      <c r="I27" s="153"/>
      <c r="J27" s="153">
        <f>J28+J40</f>
        <v>0</v>
      </c>
      <c r="K27" s="153">
        <f>K28+K40</f>
        <v>-4019</v>
      </c>
      <c r="L27" s="223">
        <f>L28+L40</f>
        <v>3998255</v>
      </c>
      <c r="M27" s="223"/>
      <c r="N27" s="223">
        <f>N28+N40</f>
        <v>0</v>
      </c>
      <c r="O27" s="153">
        <f>O28+O40</f>
        <v>3998255</v>
      </c>
      <c r="P27" s="153">
        <f>P28+P40</f>
        <v>2984.5</v>
      </c>
      <c r="Q27" s="153">
        <f>Q28+Q40</f>
        <v>-1294.8000000000002</v>
      </c>
      <c r="R27" s="153">
        <f>R28+R40</f>
        <v>3999944.6999999997</v>
      </c>
      <c r="S27" s="212"/>
    </row>
    <row r="28" spans="1:19" s="126" customFormat="1" ht="37.5">
      <c r="A28" s="67"/>
      <c r="B28" s="67">
        <v>252</v>
      </c>
      <c r="C28" s="67"/>
      <c r="D28" s="65" t="s">
        <v>474</v>
      </c>
      <c r="E28" s="65" t="s">
        <v>473</v>
      </c>
      <c r="F28" s="121">
        <f>SUM(F29:F39)</f>
        <v>3631867</v>
      </c>
      <c r="G28" s="121">
        <f>SUM(G29:G39)</f>
        <v>49608</v>
      </c>
      <c r="H28" s="152">
        <f>SUM(H29:H39)</f>
        <v>3681475</v>
      </c>
      <c r="I28" s="152"/>
      <c r="J28" s="152">
        <f>SUM(J29:J39)</f>
        <v>0</v>
      </c>
      <c r="K28" s="152">
        <f>SUM(K29:K39)</f>
        <v>-4019</v>
      </c>
      <c r="L28" s="220">
        <f>SUM(L29:L39)</f>
        <v>3677456</v>
      </c>
      <c r="M28" s="220"/>
      <c r="N28" s="220">
        <f>SUM(N29:N39)</f>
        <v>0</v>
      </c>
      <c r="O28" s="152">
        <f>SUM(O29:O39)</f>
        <v>3677456</v>
      </c>
      <c r="P28" s="152">
        <f>SUM(P29:P39)</f>
        <v>2594.5</v>
      </c>
      <c r="Q28" s="152">
        <f>SUM(Q29:Q39)</f>
        <v>-1294.8000000000002</v>
      </c>
      <c r="R28" s="152">
        <f>SUM(R29:R39)</f>
        <v>3678755.6999999997</v>
      </c>
      <c r="S28" s="212"/>
    </row>
    <row r="29" spans="1:19" s="126" customFormat="1" ht="56.25">
      <c r="A29" s="120"/>
      <c r="B29" s="120"/>
      <c r="C29" s="119">
        <v>1</v>
      </c>
      <c r="D29" s="118" t="s">
        <v>496</v>
      </c>
      <c r="E29" s="118" t="s">
        <v>495</v>
      </c>
      <c r="F29" s="117">
        <v>3419022</v>
      </c>
      <c r="G29" s="117"/>
      <c r="H29" s="146">
        <f aca="true" t="shared" si="2" ref="H29:H39">F29+G29</f>
        <v>3419022</v>
      </c>
      <c r="I29" s="146"/>
      <c r="J29" s="146"/>
      <c r="K29" s="146"/>
      <c r="L29" s="154">
        <f aca="true" t="shared" si="3" ref="L29:L36">H29+J29</f>
        <v>3419022</v>
      </c>
      <c r="M29" s="154"/>
      <c r="N29" s="154"/>
      <c r="O29" s="146">
        <f aca="true" t="shared" si="4" ref="O29:O42">L29+N29</f>
        <v>3419022</v>
      </c>
      <c r="P29" s="146">
        <v>1294.8</v>
      </c>
      <c r="Q29" s="146">
        <f>-533</f>
        <v>-533</v>
      </c>
      <c r="R29" s="146">
        <f aca="true" t="shared" si="5" ref="R29:R42">O29+P29+Q29</f>
        <v>3419783.8</v>
      </c>
      <c r="S29" s="212"/>
    </row>
    <row r="30" spans="1:19" s="126" customFormat="1" ht="37.5">
      <c r="A30" s="120"/>
      <c r="B30" s="120"/>
      <c r="C30" s="119">
        <v>3</v>
      </c>
      <c r="D30" s="118" t="s">
        <v>494</v>
      </c>
      <c r="E30" s="118" t="s">
        <v>493</v>
      </c>
      <c r="F30" s="117">
        <v>3607</v>
      </c>
      <c r="G30" s="117"/>
      <c r="H30" s="146">
        <f t="shared" si="2"/>
        <v>3607</v>
      </c>
      <c r="I30" s="146"/>
      <c r="J30" s="146"/>
      <c r="K30" s="146"/>
      <c r="L30" s="154">
        <f t="shared" si="3"/>
        <v>3607</v>
      </c>
      <c r="M30" s="154"/>
      <c r="N30" s="154"/>
      <c r="O30" s="146">
        <f t="shared" si="4"/>
        <v>3607</v>
      </c>
      <c r="P30" s="146"/>
      <c r="Q30" s="146"/>
      <c r="R30" s="146">
        <f t="shared" si="5"/>
        <v>3607</v>
      </c>
      <c r="S30" s="212"/>
    </row>
    <row r="31" spans="1:19" s="126" customFormat="1" ht="27.75" customHeight="1">
      <c r="A31" s="120"/>
      <c r="B31" s="120"/>
      <c r="C31" s="119">
        <v>5</v>
      </c>
      <c r="D31" s="118" t="s">
        <v>318</v>
      </c>
      <c r="E31" s="118" t="s">
        <v>317</v>
      </c>
      <c r="F31" s="117">
        <v>3000</v>
      </c>
      <c r="G31" s="117"/>
      <c r="H31" s="146">
        <f t="shared" si="2"/>
        <v>3000</v>
      </c>
      <c r="I31" s="146"/>
      <c r="J31" s="146"/>
      <c r="K31" s="146"/>
      <c r="L31" s="154">
        <f t="shared" si="3"/>
        <v>3000</v>
      </c>
      <c r="M31" s="154"/>
      <c r="N31" s="154"/>
      <c r="O31" s="146">
        <f t="shared" si="4"/>
        <v>3000</v>
      </c>
      <c r="P31" s="146"/>
      <c r="Q31" s="146">
        <f>-394.2</f>
        <v>-394.2</v>
      </c>
      <c r="R31" s="146">
        <f t="shared" si="5"/>
        <v>2605.8</v>
      </c>
      <c r="S31" s="212"/>
    </row>
    <row r="32" spans="1:19" s="126" customFormat="1" ht="18.75">
      <c r="A32" s="120"/>
      <c r="B32" s="120"/>
      <c r="C32" s="119">
        <v>6</v>
      </c>
      <c r="D32" s="118" t="s">
        <v>219</v>
      </c>
      <c r="E32" s="118" t="s">
        <v>218</v>
      </c>
      <c r="F32" s="117">
        <v>142725</v>
      </c>
      <c r="G32" s="117"/>
      <c r="H32" s="146">
        <f t="shared" si="2"/>
        <v>142725</v>
      </c>
      <c r="I32" s="146"/>
      <c r="J32" s="146"/>
      <c r="K32" s="146"/>
      <c r="L32" s="222">
        <f t="shared" si="3"/>
        <v>142725</v>
      </c>
      <c r="M32" s="222"/>
      <c r="N32" s="154"/>
      <c r="O32" s="146">
        <f t="shared" si="4"/>
        <v>142725</v>
      </c>
      <c r="P32" s="204"/>
      <c r="Q32" s="146">
        <f>-367.6</f>
        <v>-367.6</v>
      </c>
      <c r="R32" s="146">
        <f t="shared" si="5"/>
        <v>142357.4</v>
      </c>
      <c r="S32" s="212"/>
    </row>
    <row r="33" spans="1:19" s="126" customFormat="1" ht="37.5">
      <c r="A33" s="120"/>
      <c r="B33" s="120"/>
      <c r="C33" s="119">
        <v>13</v>
      </c>
      <c r="D33" s="118" t="s">
        <v>492</v>
      </c>
      <c r="E33" s="118" t="s">
        <v>491</v>
      </c>
      <c r="F33" s="117">
        <v>34696</v>
      </c>
      <c r="G33" s="117"/>
      <c r="H33" s="146">
        <f t="shared" si="2"/>
        <v>34696</v>
      </c>
      <c r="I33" s="146"/>
      <c r="J33" s="146"/>
      <c r="K33" s="146"/>
      <c r="L33" s="222">
        <f t="shared" si="3"/>
        <v>34696</v>
      </c>
      <c r="M33" s="222"/>
      <c r="N33" s="154"/>
      <c r="O33" s="146">
        <f t="shared" si="4"/>
        <v>34696</v>
      </c>
      <c r="P33" s="204"/>
      <c r="Q33" s="146"/>
      <c r="R33" s="146">
        <f t="shared" si="5"/>
        <v>34696</v>
      </c>
      <c r="S33" s="212"/>
    </row>
    <row r="34" spans="1:19" s="126" customFormat="1" ht="37.5">
      <c r="A34" s="120"/>
      <c r="B34" s="120"/>
      <c r="C34" s="119">
        <v>14</v>
      </c>
      <c r="D34" s="118" t="s">
        <v>490</v>
      </c>
      <c r="E34" s="118" t="s">
        <v>489</v>
      </c>
      <c r="F34" s="117">
        <v>2562</v>
      </c>
      <c r="G34" s="117"/>
      <c r="H34" s="146">
        <f t="shared" si="2"/>
        <v>2562</v>
      </c>
      <c r="I34" s="146"/>
      <c r="J34" s="146"/>
      <c r="K34" s="146"/>
      <c r="L34" s="154">
        <f t="shared" si="3"/>
        <v>2562</v>
      </c>
      <c r="M34" s="154"/>
      <c r="N34" s="154"/>
      <c r="O34" s="146">
        <f t="shared" si="4"/>
        <v>2562</v>
      </c>
      <c r="P34" s="146"/>
      <c r="Q34" s="146"/>
      <c r="R34" s="146">
        <f t="shared" si="5"/>
        <v>2562</v>
      </c>
      <c r="S34" s="212"/>
    </row>
    <row r="35" spans="1:19" s="126" customFormat="1" ht="18.75">
      <c r="A35" s="120"/>
      <c r="B35" s="120"/>
      <c r="C35" s="119">
        <v>15</v>
      </c>
      <c r="D35" s="118" t="s">
        <v>488</v>
      </c>
      <c r="E35" s="118" t="s">
        <v>487</v>
      </c>
      <c r="F35" s="117">
        <v>26255</v>
      </c>
      <c r="G35" s="117"/>
      <c r="H35" s="146">
        <f t="shared" si="2"/>
        <v>26255</v>
      </c>
      <c r="I35" s="146"/>
      <c r="J35" s="146"/>
      <c r="K35" s="146"/>
      <c r="L35" s="154">
        <f t="shared" si="3"/>
        <v>26255</v>
      </c>
      <c r="M35" s="154"/>
      <c r="N35" s="154"/>
      <c r="O35" s="146">
        <f t="shared" si="4"/>
        <v>26255</v>
      </c>
      <c r="P35" s="146">
        <v>1299.7</v>
      </c>
      <c r="Q35" s="146"/>
      <c r="R35" s="146">
        <f>O35+P35+Q35</f>
        <v>27554.7</v>
      </c>
      <c r="S35" s="212"/>
    </row>
    <row r="36" spans="1:19" s="126" customFormat="1" ht="18.75">
      <c r="A36" s="120"/>
      <c r="B36" s="120"/>
      <c r="C36" s="119">
        <v>16</v>
      </c>
      <c r="D36" s="118" t="s">
        <v>486</v>
      </c>
      <c r="E36" s="118" t="s">
        <v>485</v>
      </c>
      <c r="F36" s="117"/>
      <c r="G36" s="117">
        <v>2719</v>
      </c>
      <c r="H36" s="146">
        <f t="shared" si="2"/>
        <v>2719</v>
      </c>
      <c r="I36" s="146"/>
      <c r="J36" s="146"/>
      <c r="K36" s="146"/>
      <c r="L36" s="154">
        <f t="shared" si="3"/>
        <v>2719</v>
      </c>
      <c r="M36" s="154"/>
      <c r="N36" s="154"/>
      <c r="O36" s="146">
        <f t="shared" si="4"/>
        <v>2719</v>
      </c>
      <c r="P36" s="146"/>
      <c r="Q36" s="146"/>
      <c r="R36" s="146">
        <f t="shared" si="5"/>
        <v>2719</v>
      </c>
      <c r="S36" s="212"/>
    </row>
    <row r="37" spans="1:19" s="126" customFormat="1" ht="63" customHeight="1">
      <c r="A37" s="120"/>
      <c r="B37" s="120"/>
      <c r="C37" s="119">
        <v>18</v>
      </c>
      <c r="D37" s="118" t="s">
        <v>484</v>
      </c>
      <c r="E37" s="118" t="s">
        <v>483</v>
      </c>
      <c r="F37" s="117"/>
      <c r="G37" s="117">
        <v>32990</v>
      </c>
      <c r="H37" s="146">
        <f t="shared" si="2"/>
        <v>32990</v>
      </c>
      <c r="I37" s="146"/>
      <c r="J37" s="146"/>
      <c r="K37" s="146">
        <v>-4019</v>
      </c>
      <c r="L37" s="154">
        <f>H37+J37+K37</f>
        <v>28971</v>
      </c>
      <c r="M37" s="154"/>
      <c r="N37" s="154"/>
      <c r="O37" s="146">
        <f t="shared" si="4"/>
        <v>28971</v>
      </c>
      <c r="P37" s="146"/>
      <c r="Q37" s="146"/>
      <c r="R37" s="146">
        <f>O37+P37+Q37</f>
        <v>28971</v>
      </c>
      <c r="S37" s="212"/>
    </row>
    <row r="38" spans="1:19" s="126" customFormat="1" ht="62.25" customHeight="1">
      <c r="A38" s="120"/>
      <c r="B38" s="120"/>
      <c r="C38" s="119">
        <v>19</v>
      </c>
      <c r="D38" s="118" t="s">
        <v>482</v>
      </c>
      <c r="E38" s="118" t="s">
        <v>481</v>
      </c>
      <c r="F38" s="117"/>
      <c r="G38" s="117">
        <v>11500</v>
      </c>
      <c r="H38" s="146">
        <f t="shared" si="2"/>
        <v>11500</v>
      </c>
      <c r="I38" s="146"/>
      <c r="J38" s="146"/>
      <c r="K38" s="146"/>
      <c r="L38" s="154">
        <f>H38+J38</f>
        <v>11500</v>
      </c>
      <c r="M38" s="154"/>
      <c r="N38" s="154"/>
      <c r="O38" s="146">
        <f t="shared" si="4"/>
        <v>11500</v>
      </c>
      <c r="P38" s="146"/>
      <c r="Q38" s="146"/>
      <c r="R38" s="146">
        <f t="shared" si="5"/>
        <v>11500</v>
      </c>
      <c r="S38" s="212"/>
    </row>
    <row r="39" spans="1:19" s="126" customFormat="1" ht="56.25">
      <c r="A39" s="120"/>
      <c r="B39" s="120"/>
      <c r="C39" s="119">
        <v>20</v>
      </c>
      <c r="D39" s="118" t="s">
        <v>480</v>
      </c>
      <c r="E39" s="118" t="s">
        <v>479</v>
      </c>
      <c r="F39" s="117"/>
      <c r="G39" s="117">
        <v>2399</v>
      </c>
      <c r="H39" s="146">
        <f t="shared" si="2"/>
        <v>2399</v>
      </c>
      <c r="I39" s="146"/>
      <c r="J39" s="146"/>
      <c r="K39" s="146"/>
      <c r="L39" s="154">
        <f>H39+J39</f>
        <v>2399</v>
      </c>
      <c r="M39" s="154"/>
      <c r="N39" s="154"/>
      <c r="O39" s="146">
        <f t="shared" si="4"/>
        <v>2399</v>
      </c>
      <c r="P39" s="146"/>
      <c r="Q39" s="146"/>
      <c r="R39" s="146">
        <f t="shared" si="5"/>
        <v>2399</v>
      </c>
      <c r="S39" s="212"/>
    </row>
    <row r="40" spans="1:19" s="126" customFormat="1" ht="27.75" customHeight="1">
      <c r="A40" s="67"/>
      <c r="B40" s="67">
        <v>271</v>
      </c>
      <c r="C40" s="67"/>
      <c r="D40" s="65" t="s">
        <v>179</v>
      </c>
      <c r="E40" s="65" t="s">
        <v>178</v>
      </c>
      <c r="F40" s="121">
        <f>F42</f>
        <v>0</v>
      </c>
      <c r="G40" s="121">
        <f>G42</f>
        <v>320799</v>
      </c>
      <c r="H40" s="152">
        <f>H42</f>
        <v>320799</v>
      </c>
      <c r="I40" s="152"/>
      <c r="J40" s="152">
        <f>J42</f>
        <v>0</v>
      </c>
      <c r="K40" s="152">
        <f>K42</f>
        <v>0</v>
      </c>
      <c r="L40" s="220">
        <f>L42</f>
        <v>320799</v>
      </c>
      <c r="M40" s="220"/>
      <c r="N40" s="220">
        <f>N42</f>
        <v>0</v>
      </c>
      <c r="O40" s="152">
        <f>O42+O41</f>
        <v>320799</v>
      </c>
      <c r="P40" s="152">
        <f>P42+P41</f>
        <v>390</v>
      </c>
      <c r="Q40" s="152">
        <f>Q42+Q41</f>
        <v>0</v>
      </c>
      <c r="R40" s="152">
        <f>R42+R41</f>
        <v>321189</v>
      </c>
      <c r="S40" s="212"/>
    </row>
    <row r="41" spans="1:19" s="126" customFormat="1" ht="18.75">
      <c r="A41" s="187"/>
      <c r="B41" s="187"/>
      <c r="C41" s="188">
        <v>3</v>
      </c>
      <c r="D41" s="189" t="s">
        <v>588</v>
      </c>
      <c r="E41" s="189" t="s">
        <v>587</v>
      </c>
      <c r="F41" s="190"/>
      <c r="G41" s="190"/>
      <c r="H41" s="185"/>
      <c r="I41" s="185"/>
      <c r="J41" s="185"/>
      <c r="K41" s="185"/>
      <c r="L41" s="154"/>
      <c r="M41" s="154"/>
      <c r="N41" s="154"/>
      <c r="O41" s="146"/>
      <c r="P41" s="185">
        <v>390</v>
      </c>
      <c r="Q41" s="185"/>
      <c r="R41" s="146">
        <f>O41+P41+Q41</f>
        <v>390</v>
      </c>
      <c r="S41" s="212"/>
    </row>
    <row r="42" spans="1:19" s="126" customFormat="1" ht="62.25" customHeight="1">
      <c r="A42" s="187"/>
      <c r="B42" s="187"/>
      <c r="C42" s="188">
        <v>53</v>
      </c>
      <c r="D42" s="189" t="s">
        <v>478</v>
      </c>
      <c r="E42" s="189" t="s">
        <v>477</v>
      </c>
      <c r="F42" s="190"/>
      <c r="G42" s="190">
        <v>320799</v>
      </c>
      <c r="H42" s="185">
        <f>F42+G42</f>
        <v>320799</v>
      </c>
      <c r="I42" s="185"/>
      <c r="J42" s="185"/>
      <c r="K42" s="185"/>
      <c r="L42" s="154">
        <f>H42+J42</f>
        <v>320799</v>
      </c>
      <c r="M42" s="154"/>
      <c r="N42" s="154"/>
      <c r="O42" s="146">
        <f t="shared" si="4"/>
        <v>320799</v>
      </c>
      <c r="P42" s="185"/>
      <c r="Q42" s="185"/>
      <c r="R42" s="146">
        <f t="shared" si="5"/>
        <v>320799</v>
      </c>
      <c r="S42" s="212"/>
    </row>
    <row r="43" spans="1:19" s="126" customFormat="1" ht="18.75">
      <c r="A43" s="131">
        <v>4</v>
      </c>
      <c r="B43" s="131"/>
      <c r="C43" s="130"/>
      <c r="D43" s="129" t="s">
        <v>476</v>
      </c>
      <c r="E43" s="129" t="s">
        <v>475</v>
      </c>
      <c r="F43" s="128">
        <f>F44+F46+F49+F52+F73</f>
        <v>8203742</v>
      </c>
      <c r="G43" s="128">
        <f>G44+G46+G49+G52+G73</f>
        <v>3227875</v>
      </c>
      <c r="H43" s="153">
        <f>H44+H46+H49+H52+H73</f>
        <v>11431617</v>
      </c>
      <c r="I43" s="153"/>
      <c r="J43" s="153">
        <f>J44+J46+J49+J52+J73</f>
        <v>2387264.8</v>
      </c>
      <c r="K43" s="153">
        <f>K44+K46+K49+K52+K73</f>
        <v>0</v>
      </c>
      <c r="L43" s="223">
        <f>L44+L46+L49+L52+L73</f>
        <v>13818881.8</v>
      </c>
      <c r="M43" s="223"/>
      <c r="N43" s="223">
        <f>N44+N46+N49+N52+N73</f>
        <v>0</v>
      </c>
      <c r="O43" s="153">
        <f>O44+O46+O49+O52+O73</f>
        <v>13818881.8</v>
      </c>
      <c r="P43" s="153">
        <f>P44+P46+P49+P52+P73</f>
        <v>74184</v>
      </c>
      <c r="Q43" s="153">
        <f>Q44+Q46+Q49+Q52+Q73</f>
        <v>-39700.4</v>
      </c>
      <c r="R43" s="153">
        <f>R44+R46+R49+R52+R73</f>
        <v>13853365.4</v>
      </c>
      <c r="S43" s="212"/>
    </row>
    <row r="44" spans="1:19" s="126" customFormat="1" ht="37.5">
      <c r="A44" s="67"/>
      <c r="B44" s="67">
        <v>252</v>
      </c>
      <c r="C44" s="67"/>
      <c r="D44" s="65" t="s">
        <v>474</v>
      </c>
      <c r="E44" s="65" t="s">
        <v>473</v>
      </c>
      <c r="F44" s="121">
        <f>F45</f>
        <v>106461</v>
      </c>
      <c r="G44" s="121">
        <f>G45</f>
        <v>0</v>
      </c>
      <c r="H44" s="152">
        <f>H45</f>
        <v>106461</v>
      </c>
      <c r="I44" s="152"/>
      <c r="J44" s="152">
        <f>J45</f>
        <v>0</v>
      </c>
      <c r="K44" s="152">
        <f>K45</f>
        <v>0</v>
      </c>
      <c r="L44" s="220">
        <f>L45</f>
        <v>106461</v>
      </c>
      <c r="M44" s="220"/>
      <c r="N44" s="220">
        <f>N45</f>
        <v>0</v>
      </c>
      <c r="O44" s="152">
        <f>O45</f>
        <v>106461</v>
      </c>
      <c r="P44" s="152">
        <f>P45</f>
        <v>0</v>
      </c>
      <c r="Q44" s="152">
        <f>Q45</f>
        <v>0</v>
      </c>
      <c r="R44" s="152">
        <f>R45</f>
        <v>106461</v>
      </c>
      <c r="S44" s="212"/>
    </row>
    <row r="45" spans="1:19" s="126" customFormat="1" ht="37.5">
      <c r="A45" s="120"/>
      <c r="B45" s="120"/>
      <c r="C45" s="119">
        <v>7</v>
      </c>
      <c r="D45" s="118" t="s">
        <v>454</v>
      </c>
      <c r="E45" s="118" t="s">
        <v>453</v>
      </c>
      <c r="F45" s="117">
        <v>106461</v>
      </c>
      <c r="G45" s="117"/>
      <c r="H45" s="146">
        <f>F45+G45</f>
        <v>106461</v>
      </c>
      <c r="I45" s="146"/>
      <c r="J45" s="146"/>
      <c r="K45" s="146"/>
      <c r="L45" s="154">
        <f>H45+J45</f>
        <v>106461</v>
      </c>
      <c r="M45" s="154"/>
      <c r="N45" s="154"/>
      <c r="O45" s="146">
        <f>L45+N45</f>
        <v>106461</v>
      </c>
      <c r="P45" s="146"/>
      <c r="Q45" s="146"/>
      <c r="R45" s="146">
        <f>O45+P45+Q45</f>
        <v>106461</v>
      </c>
      <c r="S45" s="212"/>
    </row>
    <row r="46" spans="1:19" s="126" customFormat="1" ht="27.75" customHeight="1">
      <c r="A46" s="67"/>
      <c r="B46" s="67">
        <v>253</v>
      </c>
      <c r="C46" s="67"/>
      <c r="D46" s="65" t="s">
        <v>429</v>
      </c>
      <c r="E46" s="65" t="s">
        <v>428</v>
      </c>
      <c r="F46" s="121">
        <f>SUM(F47:F48)</f>
        <v>185880</v>
      </c>
      <c r="G46" s="121">
        <f>SUM(G47:G48)</f>
        <v>0</v>
      </c>
      <c r="H46" s="152">
        <f>SUM(H47:H48)</f>
        <v>185880</v>
      </c>
      <c r="I46" s="152"/>
      <c r="J46" s="152">
        <f>SUM(J47:J48)</f>
        <v>0</v>
      </c>
      <c r="K46" s="152">
        <f>SUM(K47:K48)</f>
        <v>0</v>
      </c>
      <c r="L46" s="220">
        <f>SUM(L47:L48)</f>
        <v>185880</v>
      </c>
      <c r="M46" s="220"/>
      <c r="N46" s="220">
        <f>SUM(N47:N48)</f>
        <v>0</v>
      </c>
      <c r="O46" s="152">
        <f>O47+O48</f>
        <v>185880</v>
      </c>
      <c r="P46" s="152">
        <f>P47+P48</f>
        <v>0</v>
      </c>
      <c r="Q46" s="152">
        <f>Q47+Q48</f>
        <v>0</v>
      </c>
      <c r="R46" s="152">
        <f>R47+R48</f>
        <v>185880</v>
      </c>
      <c r="S46" s="212"/>
    </row>
    <row r="47" spans="1:19" s="126" customFormat="1" ht="41.25" customHeight="1">
      <c r="A47" s="120"/>
      <c r="B47" s="120"/>
      <c r="C47" s="119">
        <v>3</v>
      </c>
      <c r="D47" s="118" t="s">
        <v>454</v>
      </c>
      <c r="E47" s="118" t="s">
        <v>453</v>
      </c>
      <c r="F47" s="117">
        <v>18307</v>
      </c>
      <c r="G47" s="117"/>
      <c r="H47" s="146">
        <f>F47+G47</f>
        <v>18307</v>
      </c>
      <c r="I47" s="146"/>
      <c r="J47" s="146"/>
      <c r="K47" s="146"/>
      <c r="L47" s="154">
        <f>H47+J47</f>
        <v>18307</v>
      </c>
      <c r="M47" s="154"/>
      <c r="N47" s="154"/>
      <c r="O47" s="146">
        <f>L47+N47</f>
        <v>18307</v>
      </c>
      <c r="P47" s="146"/>
      <c r="Q47" s="146"/>
      <c r="R47" s="146">
        <f>O47+P47+Q47</f>
        <v>18307</v>
      </c>
      <c r="S47" s="212"/>
    </row>
    <row r="48" spans="1:19" s="126" customFormat="1" ht="42.75" customHeight="1">
      <c r="A48" s="120"/>
      <c r="B48" s="120"/>
      <c r="C48" s="119">
        <v>43</v>
      </c>
      <c r="D48" s="118" t="s">
        <v>472</v>
      </c>
      <c r="E48" s="118" t="s">
        <v>471</v>
      </c>
      <c r="F48" s="117">
        <v>167573</v>
      </c>
      <c r="G48" s="117"/>
      <c r="H48" s="146">
        <f>F48+G48</f>
        <v>167573</v>
      </c>
      <c r="I48" s="146"/>
      <c r="J48" s="146"/>
      <c r="K48" s="146"/>
      <c r="L48" s="222">
        <f>H48+J48</f>
        <v>167573</v>
      </c>
      <c r="M48" s="222"/>
      <c r="N48" s="154"/>
      <c r="O48" s="146">
        <f>L48+N48</f>
        <v>167573</v>
      </c>
      <c r="P48" s="204"/>
      <c r="Q48" s="146"/>
      <c r="R48" s="146">
        <f>O48+P48+Q48</f>
        <v>167573</v>
      </c>
      <c r="S48" s="212"/>
    </row>
    <row r="49" spans="1:19" s="126" customFormat="1" ht="35.25" customHeight="1">
      <c r="A49" s="67"/>
      <c r="B49" s="67">
        <v>260</v>
      </c>
      <c r="C49" s="67"/>
      <c r="D49" s="65" t="s">
        <v>332</v>
      </c>
      <c r="E49" s="65" t="s">
        <v>331</v>
      </c>
      <c r="F49" s="121">
        <f>SUM(F50:F51)</f>
        <v>1045526</v>
      </c>
      <c r="G49" s="121">
        <f>SUM(G50:G51)</f>
        <v>0</v>
      </c>
      <c r="H49" s="152">
        <f>SUM(H50:H51)</f>
        <v>1045526</v>
      </c>
      <c r="I49" s="152"/>
      <c r="J49" s="152">
        <f>SUM(J50:J51)</f>
        <v>0</v>
      </c>
      <c r="K49" s="152">
        <f>SUM(K50:K51)</f>
        <v>0</v>
      </c>
      <c r="L49" s="221">
        <f>SUM(L50:L51)</f>
        <v>1045526</v>
      </c>
      <c r="M49" s="221"/>
      <c r="N49" s="220">
        <f>SUM(N50:N51)</f>
        <v>0</v>
      </c>
      <c r="O49" s="206">
        <f>SUM(O50:O51)</f>
        <v>1045526</v>
      </c>
      <c r="P49" s="206">
        <f>SUM(P50:P51)</f>
        <v>0</v>
      </c>
      <c r="Q49" s="206">
        <f>SUM(Q50:Q51)</f>
        <v>0</v>
      </c>
      <c r="R49" s="206">
        <f>SUM(R50:R51)</f>
        <v>1045526</v>
      </c>
      <c r="S49" s="212"/>
    </row>
    <row r="50" spans="1:19" s="126" customFormat="1" ht="37.5">
      <c r="A50" s="120"/>
      <c r="B50" s="120"/>
      <c r="C50" s="119">
        <v>6</v>
      </c>
      <c r="D50" s="118" t="s">
        <v>470</v>
      </c>
      <c r="E50" s="118" t="s">
        <v>469</v>
      </c>
      <c r="F50" s="117">
        <v>858301</v>
      </c>
      <c r="G50" s="117"/>
      <c r="H50" s="146">
        <f>F50+G50</f>
        <v>858301</v>
      </c>
      <c r="I50" s="146"/>
      <c r="J50" s="146"/>
      <c r="K50" s="146"/>
      <c r="L50" s="154">
        <f>H50+J50</f>
        <v>858301</v>
      </c>
      <c r="M50" s="154"/>
      <c r="N50" s="154"/>
      <c r="O50" s="146">
        <f>L50+N50</f>
        <v>858301</v>
      </c>
      <c r="P50" s="146"/>
      <c r="Q50" s="146"/>
      <c r="R50" s="146">
        <f>O50+P50+Q50</f>
        <v>858301</v>
      </c>
      <c r="S50" s="212"/>
    </row>
    <row r="51" spans="1:19" s="126" customFormat="1" ht="43.5" customHeight="1">
      <c r="A51" s="120"/>
      <c r="B51" s="120"/>
      <c r="C51" s="119">
        <v>7</v>
      </c>
      <c r="D51" s="118" t="s">
        <v>468</v>
      </c>
      <c r="E51" s="118" t="s">
        <v>467</v>
      </c>
      <c r="F51" s="117">
        <v>187225</v>
      </c>
      <c r="G51" s="117"/>
      <c r="H51" s="146">
        <f>F51+G51</f>
        <v>187225</v>
      </c>
      <c r="I51" s="146"/>
      <c r="J51" s="146"/>
      <c r="K51" s="146"/>
      <c r="L51" s="154">
        <f>H51+J51</f>
        <v>187225</v>
      </c>
      <c r="M51" s="154"/>
      <c r="N51" s="154"/>
      <c r="O51" s="146">
        <f>L51+N51</f>
        <v>187225</v>
      </c>
      <c r="P51" s="146"/>
      <c r="Q51" s="146"/>
      <c r="R51" s="146">
        <f>O51+P51+Q51</f>
        <v>187225</v>
      </c>
      <c r="S51" s="212"/>
    </row>
    <row r="52" spans="1:19" s="126" customFormat="1" ht="27" customHeight="1">
      <c r="A52" s="67"/>
      <c r="B52" s="67">
        <v>261</v>
      </c>
      <c r="C52" s="67"/>
      <c r="D52" s="65" t="s">
        <v>205</v>
      </c>
      <c r="E52" s="65" t="s">
        <v>204</v>
      </c>
      <c r="F52" s="121">
        <f>SUM(F53:F72)</f>
        <v>6085304</v>
      </c>
      <c r="G52" s="121">
        <f>SUM(G53:G72)</f>
        <v>1127139</v>
      </c>
      <c r="H52" s="152">
        <f>SUM(H53:H72)</f>
        <v>7212443</v>
      </c>
      <c r="I52" s="152"/>
      <c r="J52" s="152">
        <f>SUM(J53:J72)</f>
        <v>807264.8</v>
      </c>
      <c r="K52" s="152">
        <f>SUM(K53:K72)</f>
        <v>0</v>
      </c>
      <c r="L52" s="220">
        <f>SUM(L53:L72)</f>
        <v>8019707.8</v>
      </c>
      <c r="M52" s="220"/>
      <c r="N52" s="220">
        <f>SUM(N53:N72)</f>
        <v>0</v>
      </c>
      <c r="O52" s="152">
        <f>SUM(O53:O72)</f>
        <v>8019707.8</v>
      </c>
      <c r="P52" s="152">
        <f>SUM(P53:P72)</f>
        <v>31084</v>
      </c>
      <c r="Q52" s="152">
        <f>SUM(Q53:Q72)</f>
        <v>-39237</v>
      </c>
      <c r="R52" s="152">
        <f>SUM(R53:R72)</f>
        <v>8011554.8</v>
      </c>
      <c r="S52" s="212"/>
    </row>
    <row r="53" spans="1:19" s="126" customFormat="1" ht="42.75" customHeight="1">
      <c r="A53" s="120"/>
      <c r="B53" s="120"/>
      <c r="C53" s="119">
        <v>1</v>
      </c>
      <c r="D53" s="118" t="s">
        <v>466</v>
      </c>
      <c r="E53" s="118" t="s">
        <v>465</v>
      </c>
      <c r="F53" s="117">
        <v>80761</v>
      </c>
      <c r="G53" s="117"/>
      <c r="H53" s="146">
        <f aca="true" t="shared" si="6" ref="H53:H75">F53+G53</f>
        <v>80761</v>
      </c>
      <c r="I53" s="146"/>
      <c r="J53" s="146"/>
      <c r="K53" s="146"/>
      <c r="L53" s="154">
        <f aca="true" t="shared" si="7" ref="L53:L72">H53+J53</f>
        <v>80761</v>
      </c>
      <c r="M53" s="154"/>
      <c r="N53" s="154"/>
      <c r="O53" s="146">
        <f aca="true" t="shared" si="8" ref="O53:O75">L53+N53</f>
        <v>80761</v>
      </c>
      <c r="P53" s="146"/>
      <c r="Q53" s="146"/>
      <c r="R53" s="146">
        <f aca="true" t="shared" si="9" ref="R53:R75">O53+P53+Q53</f>
        <v>80761</v>
      </c>
      <c r="S53" s="212"/>
    </row>
    <row r="54" spans="1:19" s="126" customFormat="1" ht="39.75" customHeight="1">
      <c r="A54" s="120"/>
      <c r="B54" s="120"/>
      <c r="C54" s="119">
        <v>3</v>
      </c>
      <c r="D54" s="118" t="s">
        <v>464</v>
      </c>
      <c r="E54" s="118" t="s">
        <v>463</v>
      </c>
      <c r="F54" s="117">
        <v>633414</v>
      </c>
      <c r="G54" s="117">
        <v>9638</v>
      </c>
      <c r="H54" s="146">
        <f t="shared" si="6"/>
        <v>643052</v>
      </c>
      <c r="I54" s="146"/>
      <c r="J54" s="146"/>
      <c r="K54" s="146"/>
      <c r="L54" s="154">
        <f t="shared" si="7"/>
        <v>643052</v>
      </c>
      <c r="M54" s="154"/>
      <c r="N54" s="154"/>
      <c r="O54" s="146">
        <f t="shared" si="8"/>
        <v>643052</v>
      </c>
      <c r="P54" s="146">
        <v>4755</v>
      </c>
      <c r="Q54" s="146">
        <f>-4245</f>
        <v>-4245</v>
      </c>
      <c r="R54" s="146">
        <f t="shared" si="9"/>
        <v>643562</v>
      </c>
      <c r="S54" s="212"/>
    </row>
    <row r="55" spans="1:19" s="126" customFormat="1" ht="39.75" customHeight="1">
      <c r="A55" s="120"/>
      <c r="B55" s="120"/>
      <c r="C55" s="119">
        <v>4</v>
      </c>
      <c r="D55" s="118" t="s">
        <v>462</v>
      </c>
      <c r="E55" s="118" t="s">
        <v>461</v>
      </c>
      <c r="F55" s="117">
        <v>42187</v>
      </c>
      <c r="G55" s="117"/>
      <c r="H55" s="146">
        <f t="shared" si="6"/>
        <v>42187</v>
      </c>
      <c r="I55" s="146"/>
      <c r="J55" s="146"/>
      <c r="K55" s="146"/>
      <c r="L55" s="154">
        <f t="shared" si="7"/>
        <v>42187</v>
      </c>
      <c r="M55" s="154"/>
      <c r="N55" s="154"/>
      <c r="O55" s="146">
        <f t="shared" si="8"/>
        <v>42187</v>
      </c>
      <c r="P55" s="146"/>
      <c r="Q55" s="146"/>
      <c r="R55" s="146">
        <f t="shared" si="9"/>
        <v>42187</v>
      </c>
      <c r="S55" s="212"/>
    </row>
    <row r="56" spans="1:19" s="126" customFormat="1" ht="54.75" customHeight="1">
      <c r="A56" s="120"/>
      <c r="B56" s="120"/>
      <c r="C56" s="119">
        <v>5</v>
      </c>
      <c r="D56" s="118" t="s">
        <v>460</v>
      </c>
      <c r="E56" s="118" t="s">
        <v>459</v>
      </c>
      <c r="F56" s="117">
        <v>53204</v>
      </c>
      <c r="G56" s="117"/>
      <c r="H56" s="146">
        <f t="shared" si="6"/>
        <v>53204</v>
      </c>
      <c r="I56" s="146"/>
      <c r="J56" s="146"/>
      <c r="K56" s="146"/>
      <c r="L56" s="154">
        <f t="shared" si="7"/>
        <v>53204</v>
      </c>
      <c r="M56" s="154"/>
      <c r="N56" s="154"/>
      <c r="O56" s="146">
        <f t="shared" si="8"/>
        <v>53204</v>
      </c>
      <c r="P56" s="146"/>
      <c r="Q56" s="146"/>
      <c r="R56" s="146">
        <f t="shared" si="9"/>
        <v>53204</v>
      </c>
      <c r="S56" s="212"/>
    </row>
    <row r="57" spans="1:19" s="126" customFormat="1" ht="42.75" customHeight="1">
      <c r="A57" s="120"/>
      <c r="B57" s="120"/>
      <c r="C57" s="119">
        <v>6</v>
      </c>
      <c r="D57" s="118" t="s">
        <v>458</v>
      </c>
      <c r="E57" s="118" t="s">
        <v>457</v>
      </c>
      <c r="F57" s="117">
        <v>599777</v>
      </c>
      <c r="G57" s="117"/>
      <c r="H57" s="146">
        <f t="shared" si="6"/>
        <v>599777</v>
      </c>
      <c r="I57" s="146"/>
      <c r="J57" s="146"/>
      <c r="K57" s="146"/>
      <c r="L57" s="154">
        <f t="shared" si="7"/>
        <v>599777</v>
      </c>
      <c r="M57" s="154"/>
      <c r="N57" s="154"/>
      <c r="O57" s="146">
        <f t="shared" si="8"/>
        <v>599777</v>
      </c>
      <c r="P57" s="146">
        <f>2122+4634</f>
        <v>6756</v>
      </c>
      <c r="Q57" s="146"/>
      <c r="R57" s="146">
        <f t="shared" si="9"/>
        <v>606533</v>
      </c>
      <c r="S57" s="212"/>
    </row>
    <row r="58" spans="1:19" s="126" customFormat="1" ht="36.75" customHeight="1">
      <c r="A58" s="120"/>
      <c r="B58" s="120"/>
      <c r="C58" s="119">
        <v>7</v>
      </c>
      <c r="D58" s="118" t="s">
        <v>456</v>
      </c>
      <c r="E58" s="118" t="s">
        <v>455</v>
      </c>
      <c r="F58" s="117">
        <v>26603</v>
      </c>
      <c r="G58" s="117"/>
      <c r="H58" s="146">
        <f t="shared" si="6"/>
        <v>26603</v>
      </c>
      <c r="I58" s="146"/>
      <c r="J58" s="146"/>
      <c r="K58" s="146"/>
      <c r="L58" s="154">
        <f t="shared" si="7"/>
        <v>26603</v>
      </c>
      <c r="M58" s="154"/>
      <c r="N58" s="154"/>
      <c r="O58" s="146">
        <f t="shared" si="8"/>
        <v>26603</v>
      </c>
      <c r="P58" s="146"/>
      <c r="Q58" s="146"/>
      <c r="R58" s="146">
        <f t="shared" si="9"/>
        <v>26603</v>
      </c>
      <c r="S58" s="212"/>
    </row>
    <row r="59" spans="1:19" s="126" customFormat="1" ht="37.5">
      <c r="A59" s="120"/>
      <c r="B59" s="120"/>
      <c r="C59" s="119">
        <v>10</v>
      </c>
      <c r="D59" s="118" t="s">
        <v>454</v>
      </c>
      <c r="E59" s="118" t="s">
        <v>453</v>
      </c>
      <c r="F59" s="117">
        <v>137706</v>
      </c>
      <c r="G59" s="117"/>
      <c r="H59" s="146">
        <f t="shared" si="6"/>
        <v>137706</v>
      </c>
      <c r="I59" s="146"/>
      <c r="J59" s="146"/>
      <c r="K59" s="146"/>
      <c r="L59" s="154">
        <f t="shared" si="7"/>
        <v>137706</v>
      </c>
      <c r="M59" s="154"/>
      <c r="N59" s="154"/>
      <c r="O59" s="146">
        <f t="shared" si="8"/>
        <v>137706</v>
      </c>
      <c r="P59" s="146"/>
      <c r="Q59" s="146"/>
      <c r="R59" s="146">
        <f t="shared" si="9"/>
        <v>137706</v>
      </c>
      <c r="S59" s="212"/>
    </row>
    <row r="60" spans="1:19" s="126" customFormat="1" ht="54.75" customHeight="1">
      <c r="A60" s="120"/>
      <c r="B60" s="120"/>
      <c r="C60" s="119">
        <v>11</v>
      </c>
      <c r="D60" s="118" t="s">
        <v>452</v>
      </c>
      <c r="E60" s="118" t="s">
        <v>451</v>
      </c>
      <c r="F60" s="117">
        <v>94045</v>
      </c>
      <c r="G60" s="117"/>
      <c r="H60" s="146">
        <f t="shared" si="6"/>
        <v>94045</v>
      </c>
      <c r="I60" s="146"/>
      <c r="J60" s="146"/>
      <c r="K60" s="146"/>
      <c r="L60" s="154">
        <f t="shared" si="7"/>
        <v>94045</v>
      </c>
      <c r="M60" s="154"/>
      <c r="N60" s="154"/>
      <c r="O60" s="146">
        <f t="shared" si="8"/>
        <v>94045</v>
      </c>
      <c r="P60" s="146">
        <f>623</f>
        <v>623</v>
      </c>
      <c r="Q60" s="146"/>
      <c r="R60" s="146">
        <f t="shared" si="9"/>
        <v>94668</v>
      </c>
      <c r="S60" s="212"/>
    </row>
    <row r="61" spans="1:19" s="126" customFormat="1" ht="37.5">
      <c r="A61" s="120"/>
      <c r="B61" s="120"/>
      <c r="C61" s="119">
        <v>24</v>
      </c>
      <c r="D61" s="118" t="s">
        <v>450</v>
      </c>
      <c r="E61" s="118" t="s">
        <v>449</v>
      </c>
      <c r="F61" s="117">
        <v>3753611</v>
      </c>
      <c r="G61" s="117"/>
      <c r="H61" s="146">
        <f t="shared" si="6"/>
        <v>3753611</v>
      </c>
      <c r="I61" s="146"/>
      <c r="J61" s="164">
        <v>5501</v>
      </c>
      <c r="K61" s="164"/>
      <c r="L61" s="154">
        <f t="shared" si="7"/>
        <v>3759112</v>
      </c>
      <c r="M61" s="154"/>
      <c r="N61" s="154"/>
      <c r="O61" s="146">
        <f t="shared" si="8"/>
        <v>3759112</v>
      </c>
      <c r="P61" s="146">
        <f>2123+13827</f>
        <v>15950</v>
      </c>
      <c r="Q61" s="185"/>
      <c r="R61" s="146">
        <f t="shared" si="9"/>
        <v>3775062</v>
      </c>
      <c r="S61" s="212"/>
    </row>
    <row r="62" spans="1:19" s="126" customFormat="1" ht="76.5" customHeight="1">
      <c r="A62" s="120"/>
      <c r="B62" s="120"/>
      <c r="C62" s="119">
        <v>27</v>
      </c>
      <c r="D62" s="118" t="s">
        <v>448</v>
      </c>
      <c r="E62" s="118" t="s">
        <v>447</v>
      </c>
      <c r="F62" s="117"/>
      <c r="G62" s="117">
        <f>464586+1</f>
        <v>464587</v>
      </c>
      <c r="H62" s="146">
        <f t="shared" si="6"/>
        <v>464587</v>
      </c>
      <c r="I62" s="146"/>
      <c r="J62" s="164"/>
      <c r="K62" s="164"/>
      <c r="L62" s="222">
        <f t="shared" si="7"/>
        <v>464587</v>
      </c>
      <c r="M62" s="222"/>
      <c r="N62" s="154"/>
      <c r="O62" s="146">
        <f t="shared" si="8"/>
        <v>464587</v>
      </c>
      <c r="P62" s="204"/>
      <c r="Q62" s="185"/>
      <c r="R62" s="146">
        <f t="shared" si="9"/>
        <v>464587</v>
      </c>
      <c r="S62" s="212"/>
    </row>
    <row r="63" spans="1:19" s="126" customFormat="1" ht="111.75" customHeight="1">
      <c r="A63" s="120"/>
      <c r="B63" s="120"/>
      <c r="C63" s="119">
        <v>33</v>
      </c>
      <c r="D63" s="118" t="s">
        <v>446</v>
      </c>
      <c r="E63" s="118" t="s">
        <v>445</v>
      </c>
      <c r="F63" s="117"/>
      <c r="G63" s="117">
        <v>279568</v>
      </c>
      <c r="H63" s="146">
        <f t="shared" si="6"/>
        <v>279568</v>
      </c>
      <c r="I63" s="146"/>
      <c r="J63" s="146"/>
      <c r="K63" s="146"/>
      <c r="L63" s="222">
        <f t="shared" si="7"/>
        <v>279568</v>
      </c>
      <c r="M63" s="222"/>
      <c r="N63" s="154"/>
      <c r="O63" s="146">
        <f t="shared" si="8"/>
        <v>279568</v>
      </c>
      <c r="P63" s="204"/>
      <c r="Q63" s="146"/>
      <c r="R63" s="146">
        <f t="shared" si="9"/>
        <v>279568</v>
      </c>
      <c r="S63" s="212"/>
    </row>
    <row r="64" spans="1:19" s="126" customFormat="1" ht="74.25" customHeight="1">
      <c r="A64" s="120"/>
      <c r="B64" s="120"/>
      <c r="C64" s="119">
        <v>34</v>
      </c>
      <c r="D64" s="118" t="s">
        <v>444</v>
      </c>
      <c r="E64" s="118" t="s">
        <v>443</v>
      </c>
      <c r="F64" s="117"/>
      <c r="G64" s="117">
        <v>50000</v>
      </c>
      <c r="H64" s="146">
        <f t="shared" si="6"/>
        <v>50000</v>
      </c>
      <c r="I64" s="146"/>
      <c r="J64" s="146"/>
      <c r="K64" s="146"/>
      <c r="L64" s="154">
        <f t="shared" si="7"/>
        <v>50000</v>
      </c>
      <c r="M64" s="154"/>
      <c r="N64" s="154"/>
      <c r="O64" s="146">
        <f t="shared" si="8"/>
        <v>50000</v>
      </c>
      <c r="P64" s="146"/>
      <c r="Q64" s="146"/>
      <c r="R64" s="146">
        <f t="shared" si="9"/>
        <v>50000</v>
      </c>
      <c r="S64" s="212"/>
    </row>
    <row r="65" spans="1:19" s="126" customFormat="1" ht="46.5" customHeight="1">
      <c r="A65" s="120"/>
      <c r="B65" s="120"/>
      <c r="C65" s="119">
        <v>35</v>
      </c>
      <c r="D65" s="118" t="s">
        <v>562</v>
      </c>
      <c r="E65" s="118" t="s">
        <v>442</v>
      </c>
      <c r="F65" s="117"/>
      <c r="G65" s="117">
        <v>28000</v>
      </c>
      <c r="H65" s="146">
        <f t="shared" si="6"/>
        <v>28000</v>
      </c>
      <c r="I65" s="146"/>
      <c r="J65" s="146"/>
      <c r="K65" s="146"/>
      <c r="L65" s="154">
        <f t="shared" si="7"/>
        <v>28000</v>
      </c>
      <c r="M65" s="154"/>
      <c r="N65" s="154"/>
      <c r="O65" s="146">
        <f t="shared" si="8"/>
        <v>28000</v>
      </c>
      <c r="P65" s="146"/>
      <c r="Q65" s="146"/>
      <c r="R65" s="146">
        <f t="shared" si="9"/>
        <v>28000</v>
      </c>
      <c r="S65" s="212"/>
    </row>
    <row r="66" spans="1:19" s="126" customFormat="1" ht="92.25" customHeight="1">
      <c r="A66" s="120"/>
      <c r="B66" s="120"/>
      <c r="C66" s="119">
        <v>42</v>
      </c>
      <c r="D66" s="118" t="s">
        <v>441</v>
      </c>
      <c r="E66" s="118" t="s">
        <v>440</v>
      </c>
      <c r="F66" s="117"/>
      <c r="G66" s="117">
        <v>42105</v>
      </c>
      <c r="H66" s="146">
        <f t="shared" si="6"/>
        <v>42105</v>
      </c>
      <c r="I66" s="146"/>
      <c r="J66" s="146"/>
      <c r="K66" s="146"/>
      <c r="L66" s="154">
        <f t="shared" si="7"/>
        <v>42105</v>
      </c>
      <c r="M66" s="154"/>
      <c r="N66" s="154"/>
      <c r="O66" s="146">
        <f t="shared" si="8"/>
        <v>42105</v>
      </c>
      <c r="P66" s="146"/>
      <c r="Q66" s="146"/>
      <c r="R66" s="146">
        <f t="shared" si="9"/>
        <v>42105</v>
      </c>
      <c r="S66" s="212"/>
    </row>
    <row r="67" spans="1:19" s="126" customFormat="1" ht="98.25" customHeight="1">
      <c r="A67" s="187"/>
      <c r="B67" s="187"/>
      <c r="C67" s="188">
        <v>45</v>
      </c>
      <c r="D67" s="189" t="s">
        <v>551</v>
      </c>
      <c r="E67" s="189" t="s">
        <v>545</v>
      </c>
      <c r="F67" s="190"/>
      <c r="G67" s="190"/>
      <c r="H67" s="185"/>
      <c r="I67" s="185"/>
      <c r="J67" s="185">
        <v>246125</v>
      </c>
      <c r="K67" s="185"/>
      <c r="L67" s="154">
        <f t="shared" si="7"/>
        <v>246125</v>
      </c>
      <c r="M67" s="154"/>
      <c r="N67" s="154"/>
      <c r="O67" s="146">
        <f t="shared" si="8"/>
        <v>246125</v>
      </c>
      <c r="P67" s="185"/>
      <c r="Q67" s="185">
        <f>-30543</f>
        <v>-30543</v>
      </c>
      <c r="R67" s="146">
        <f t="shared" si="9"/>
        <v>215582</v>
      </c>
      <c r="S67" s="212"/>
    </row>
    <row r="68" spans="1:19" s="126" customFormat="1" ht="76.5" customHeight="1">
      <c r="A68" s="187"/>
      <c r="B68" s="187"/>
      <c r="C68" s="188">
        <v>47</v>
      </c>
      <c r="D68" s="189" t="s">
        <v>561</v>
      </c>
      <c r="E68" s="189" t="s">
        <v>556</v>
      </c>
      <c r="F68" s="190"/>
      <c r="G68" s="190"/>
      <c r="H68" s="185"/>
      <c r="I68" s="185"/>
      <c r="J68" s="185">
        <v>28244</v>
      </c>
      <c r="K68" s="185"/>
      <c r="L68" s="222">
        <f t="shared" si="7"/>
        <v>28244</v>
      </c>
      <c r="M68" s="222"/>
      <c r="N68" s="154"/>
      <c r="O68" s="146">
        <f t="shared" si="8"/>
        <v>28244</v>
      </c>
      <c r="P68" s="205"/>
      <c r="Q68" s="185"/>
      <c r="R68" s="146">
        <f t="shared" si="9"/>
        <v>28244</v>
      </c>
      <c r="S68" s="212"/>
    </row>
    <row r="69" spans="1:19" s="126" customFormat="1" ht="93.75" customHeight="1">
      <c r="A69" s="187"/>
      <c r="B69" s="187"/>
      <c r="C69" s="188">
        <v>48</v>
      </c>
      <c r="D69" s="189" t="s">
        <v>439</v>
      </c>
      <c r="E69" s="189" t="s">
        <v>438</v>
      </c>
      <c r="F69" s="190"/>
      <c r="G69" s="190">
        <f>122910-8194</f>
        <v>114716</v>
      </c>
      <c r="H69" s="185">
        <f t="shared" si="6"/>
        <v>114716</v>
      </c>
      <c r="I69" s="185"/>
      <c r="J69" s="185"/>
      <c r="K69" s="185"/>
      <c r="L69" s="222">
        <f t="shared" si="7"/>
        <v>114716</v>
      </c>
      <c r="M69" s="222"/>
      <c r="N69" s="154"/>
      <c r="O69" s="146">
        <f t="shared" si="8"/>
        <v>114716</v>
      </c>
      <c r="P69" s="205"/>
      <c r="Q69" s="185"/>
      <c r="R69" s="146">
        <f t="shared" si="9"/>
        <v>114716</v>
      </c>
      <c r="S69" s="212"/>
    </row>
    <row r="70" spans="1:19" s="126" customFormat="1" ht="54" customHeight="1">
      <c r="A70" s="187"/>
      <c r="B70" s="187"/>
      <c r="C70" s="188">
        <v>52</v>
      </c>
      <c r="D70" s="189" t="s">
        <v>552</v>
      </c>
      <c r="E70" s="259" t="s">
        <v>546</v>
      </c>
      <c r="F70" s="190"/>
      <c r="G70" s="190"/>
      <c r="H70" s="185"/>
      <c r="I70" s="185"/>
      <c r="J70" s="185">
        <v>407621</v>
      </c>
      <c r="K70" s="185"/>
      <c r="L70" s="154">
        <f t="shared" si="7"/>
        <v>407621</v>
      </c>
      <c r="M70" s="154"/>
      <c r="N70" s="154"/>
      <c r="O70" s="146">
        <f t="shared" si="8"/>
        <v>407621</v>
      </c>
      <c r="P70" s="185"/>
      <c r="Q70" s="185"/>
      <c r="R70" s="146">
        <f t="shared" si="9"/>
        <v>407621</v>
      </c>
      <c r="S70" s="212"/>
    </row>
    <row r="71" spans="1:19" s="126" customFormat="1" ht="90" customHeight="1">
      <c r="A71" s="120"/>
      <c r="B71" s="120"/>
      <c r="C71" s="119">
        <v>58</v>
      </c>
      <c r="D71" s="118" t="s">
        <v>437</v>
      </c>
      <c r="E71" s="118" t="s">
        <v>436</v>
      </c>
      <c r="F71" s="117"/>
      <c r="G71" s="117">
        <f>149607-11082</f>
        <v>138525</v>
      </c>
      <c r="H71" s="146">
        <f t="shared" si="6"/>
        <v>138525</v>
      </c>
      <c r="I71" s="146"/>
      <c r="J71" s="146"/>
      <c r="K71" s="146"/>
      <c r="L71" s="154">
        <f t="shared" si="7"/>
        <v>138525</v>
      </c>
      <c r="M71" s="154"/>
      <c r="N71" s="154"/>
      <c r="O71" s="146">
        <f t="shared" si="8"/>
        <v>138525</v>
      </c>
      <c r="P71" s="146"/>
      <c r="Q71" s="146"/>
      <c r="R71" s="146">
        <f t="shared" si="9"/>
        <v>138525</v>
      </c>
      <c r="S71" s="212"/>
    </row>
    <row r="72" spans="1:19" s="126" customFormat="1" ht="33.75" customHeight="1">
      <c r="A72" s="120"/>
      <c r="B72" s="120"/>
      <c r="C72" s="119">
        <v>113</v>
      </c>
      <c r="D72" s="118" t="s">
        <v>308</v>
      </c>
      <c r="E72" s="118" t="s">
        <v>216</v>
      </c>
      <c r="F72" s="117">
        <v>663996</v>
      </c>
      <c r="G72" s="117"/>
      <c r="H72" s="146">
        <f t="shared" si="6"/>
        <v>663996</v>
      </c>
      <c r="I72" s="146"/>
      <c r="J72" s="146">
        <f>11403.3+108370.5</f>
        <v>119773.8</v>
      </c>
      <c r="K72" s="146"/>
      <c r="L72" s="154">
        <f t="shared" si="7"/>
        <v>783769.8</v>
      </c>
      <c r="M72" s="154"/>
      <c r="N72" s="154"/>
      <c r="O72" s="146">
        <f t="shared" si="8"/>
        <v>783769.8</v>
      </c>
      <c r="P72" s="185">
        <v>3000</v>
      </c>
      <c r="Q72" s="146">
        <f>-1729-2720</f>
        <v>-4449</v>
      </c>
      <c r="R72" s="146">
        <f t="shared" si="9"/>
        <v>782320.8</v>
      </c>
      <c r="S72" s="245">
        <v>782320.8</v>
      </c>
    </row>
    <row r="73" spans="1:19" s="126" customFormat="1" ht="22.5" customHeight="1">
      <c r="A73" s="67"/>
      <c r="B73" s="67">
        <v>271</v>
      </c>
      <c r="C73" s="67"/>
      <c r="D73" s="65" t="s">
        <v>179</v>
      </c>
      <c r="E73" s="65" t="s">
        <v>178</v>
      </c>
      <c r="F73" s="121">
        <f>SUM(F74:F75)</f>
        <v>780571</v>
      </c>
      <c r="G73" s="121">
        <v>2100736</v>
      </c>
      <c r="H73" s="158">
        <f>H74+H75</f>
        <v>2881307</v>
      </c>
      <c r="I73" s="158"/>
      <c r="J73" s="158">
        <f>J74+J75</f>
        <v>1580000</v>
      </c>
      <c r="K73" s="158">
        <f>K74+K75</f>
        <v>0</v>
      </c>
      <c r="L73" s="224">
        <f>L74+L75</f>
        <v>4461307</v>
      </c>
      <c r="M73" s="224"/>
      <c r="N73" s="224">
        <f>N74+N75</f>
        <v>0</v>
      </c>
      <c r="O73" s="158">
        <f>O74+O75</f>
        <v>4461307</v>
      </c>
      <c r="P73" s="158">
        <f>P74+P75</f>
        <v>43100</v>
      </c>
      <c r="Q73" s="158">
        <f>Q74+Q75</f>
        <v>-463.4</v>
      </c>
      <c r="R73" s="158">
        <f>R74+R75</f>
        <v>4503943.6</v>
      </c>
      <c r="S73" s="212"/>
    </row>
    <row r="74" spans="1:19" s="126" customFormat="1" ht="72.75" customHeight="1">
      <c r="A74" s="120"/>
      <c r="B74" s="120"/>
      <c r="C74" s="119">
        <v>7</v>
      </c>
      <c r="D74" s="118" t="s">
        <v>435</v>
      </c>
      <c r="E74" s="118" t="s">
        <v>434</v>
      </c>
      <c r="F74" s="117"/>
      <c r="G74" s="117">
        <v>2100736</v>
      </c>
      <c r="H74" s="146">
        <f t="shared" si="6"/>
        <v>2100736</v>
      </c>
      <c r="I74" s="146"/>
      <c r="J74" s="146">
        <f>840000+740000</f>
        <v>1580000</v>
      </c>
      <c r="K74" s="146"/>
      <c r="L74" s="154">
        <f>H74+J74</f>
        <v>3680736</v>
      </c>
      <c r="M74" s="154"/>
      <c r="N74" s="154"/>
      <c r="O74" s="146">
        <f t="shared" si="8"/>
        <v>3680736</v>
      </c>
      <c r="P74" s="185"/>
      <c r="Q74" s="146"/>
      <c r="R74" s="146">
        <f t="shared" si="9"/>
        <v>3680736</v>
      </c>
      <c r="S74" s="212"/>
    </row>
    <row r="75" spans="1:19" s="126" customFormat="1" ht="76.5" customHeight="1">
      <c r="A75" s="120"/>
      <c r="B75" s="120"/>
      <c r="C75" s="119">
        <v>8</v>
      </c>
      <c r="D75" s="118" t="s">
        <v>433</v>
      </c>
      <c r="E75" s="118" t="s">
        <v>432</v>
      </c>
      <c r="F75" s="117">
        <v>780571</v>
      </c>
      <c r="G75" s="117"/>
      <c r="H75" s="146">
        <f t="shared" si="6"/>
        <v>780571</v>
      </c>
      <c r="I75" s="146"/>
      <c r="J75" s="146"/>
      <c r="K75" s="146"/>
      <c r="L75" s="154">
        <f>H75+J75</f>
        <v>780571</v>
      </c>
      <c r="M75" s="154"/>
      <c r="N75" s="154"/>
      <c r="O75" s="146">
        <f t="shared" si="8"/>
        <v>780571</v>
      </c>
      <c r="P75" s="185">
        <f>35000+8100</f>
        <v>43100</v>
      </c>
      <c r="Q75" s="146">
        <f>-463.4</f>
        <v>-463.4</v>
      </c>
      <c r="R75" s="146">
        <f t="shared" si="9"/>
        <v>823207.6</v>
      </c>
      <c r="S75" s="245">
        <v>823207.6</v>
      </c>
    </row>
    <row r="76" spans="1:19" s="126" customFormat="1" ht="18.75">
      <c r="A76" s="131">
        <v>5</v>
      </c>
      <c r="B76" s="131"/>
      <c r="C76" s="130"/>
      <c r="D76" s="129" t="s">
        <v>431</v>
      </c>
      <c r="E76" s="129" t="s">
        <v>430</v>
      </c>
      <c r="F76" s="128">
        <f>F77++F104</f>
        <v>10635640</v>
      </c>
      <c r="G76" s="128">
        <f>G77++G104</f>
        <v>3328518</v>
      </c>
      <c r="H76" s="153">
        <f>H77++H104</f>
        <v>13964158</v>
      </c>
      <c r="I76" s="153"/>
      <c r="J76" s="153">
        <f>J77++J104</f>
        <v>317049.80000000005</v>
      </c>
      <c r="K76" s="153">
        <f>K77++K104</f>
        <v>0</v>
      </c>
      <c r="L76" s="223">
        <f>L77++L104</f>
        <v>14281207.8</v>
      </c>
      <c r="M76" s="223"/>
      <c r="N76" s="223">
        <f>N77++N104</f>
        <v>0</v>
      </c>
      <c r="O76" s="153">
        <f>O77++O104</f>
        <v>14281207.8</v>
      </c>
      <c r="P76" s="153">
        <f>P77++P104</f>
        <v>100939</v>
      </c>
      <c r="Q76" s="153">
        <f>Q77++Q104</f>
        <v>-255</v>
      </c>
      <c r="R76" s="153">
        <f>R77++R104</f>
        <v>14381891.8</v>
      </c>
      <c r="S76" s="212"/>
    </row>
    <row r="77" spans="1:19" s="126" customFormat="1" ht="18.75">
      <c r="A77" s="67"/>
      <c r="B77" s="67">
        <v>253</v>
      </c>
      <c r="C77" s="67"/>
      <c r="D77" s="65" t="s">
        <v>429</v>
      </c>
      <c r="E77" s="65" t="s">
        <v>428</v>
      </c>
      <c r="F77" s="121">
        <f>SUM(F78:F102)</f>
        <v>10597884</v>
      </c>
      <c r="G77" s="121">
        <f>SUM(G78:G102)</f>
        <v>3082160</v>
      </c>
      <c r="H77" s="152">
        <f>SUM(H78:H102)</f>
        <v>13680044</v>
      </c>
      <c r="I77" s="152"/>
      <c r="J77" s="152">
        <f>SUM(J78:J103)</f>
        <v>41688.9</v>
      </c>
      <c r="K77" s="152">
        <f>SUM(K78:K103)</f>
        <v>0</v>
      </c>
      <c r="L77" s="220">
        <f>SUM(L78:L103)</f>
        <v>13721732.9</v>
      </c>
      <c r="M77" s="220"/>
      <c r="N77" s="220">
        <f>SUM(N78:N103)</f>
        <v>0</v>
      </c>
      <c r="O77" s="152">
        <f>SUM(O78:O103)</f>
        <v>13721732.9</v>
      </c>
      <c r="P77" s="152">
        <f>SUM(P78:P103)</f>
        <v>56007</v>
      </c>
      <c r="Q77" s="152">
        <f>SUM(Q78:Q103)</f>
        <v>0</v>
      </c>
      <c r="R77" s="152">
        <f>SUM(R78:R103)</f>
        <v>13777739.9</v>
      </c>
      <c r="S77" s="212"/>
    </row>
    <row r="78" spans="1:19" s="126" customFormat="1" ht="41.25" customHeight="1">
      <c r="A78" s="120"/>
      <c r="B78" s="120"/>
      <c r="C78" s="119">
        <v>1</v>
      </c>
      <c r="D78" s="118" t="s">
        <v>427</v>
      </c>
      <c r="E78" s="118" t="s">
        <v>426</v>
      </c>
      <c r="F78" s="117">
        <v>86026</v>
      </c>
      <c r="G78" s="117"/>
      <c r="H78" s="146">
        <f aca="true" t="shared" si="10" ref="H78:H102">F78+G78</f>
        <v>86026</v>
      </c>
      <c r="I78" s="146"/>
      <c r="J78" s="146"/>
      <c r="K78" s="146"/>
      <c r="L78" s="154">
        <f aca="true" t="shared" si="11" ref="L78:L103">H78+J78</f>
        <v>86026</v>
      </c>
      <c r="M78" s="154"/>
      <c r="N78" s="154"/>
      <c r="O78" s="146">
        <f aca="true" t="shared" si="12" ref="O78:O105">L78+N78</f>
        <v>86026</v>
      </c>
      <c r="P78" s="146"/>
      <c r="Q78" s="146"/>
      <c r="R78" s="146">
        <f aca="true" t="shared" si="13" ref="R78:R105">O78+P78+Q78</f>
        <v>86026</v>
      </c>
      <c r="S78" s="212"/>
    </row>
    <row r="79" spans="1:19" s="126" customFormat="1" ht="92.25" customHeight="1">
      <c r="A79" s="120"/>
      <c r="B79" s="120"/>
      <c r="C79" s="119">
        <v>4</v>
      </c>
      <c r="D79" s="118" t="s">
        <v>425</v>
      </c>
      <c r="E79" s="118" t="s">
        <v>424</v>
      </c>
      <c r="F79" s="117"/>
      <c r="G79" s="117">
        <v>101191</v>
      </c>
      <c r="H79" s="146">
        <f t="shared" si="10"/>
        <v>101191</v>
      </c>
      <c r="I79" s="146"/>
      <c r="J79" s="146"/>
      <c r="K79" s="146"/>
      <c r="L79" s="222">
        <f t="shared" si="11"/>
        <v>101191</v>
      </c>
      <c r="M79" s="222"/>
      <c r="N79" s="154"/>
      <c r="O79" s="146">
        <f t="shared" si="12"/>
        <v>101191</v>
      </c>
      <c r="P79" s="204"/>
      <c r="Q79" s="146"/>
      <c r="R79" s="146">
        <f t="shared" si="13"/>
        <v>101191</v>
      </c>
      <c r="S79" s="212"/>
    </row>
    <row r="80" spans="1:19" s="126" customFormat="1" ht="37.5">
      <c r="A80" s="120"/>
      <c r="B80" s="120"/>
      <c r="C80" s="119">
        <v>5</v>
      </c>
      <c r="D80" s="118" t="s">
        <v>423</v>
      </c>
      <c r="E80" s="118" t="s">
        <v>422</v>
      </c>
      <c r="F80" s="117">
        <v>419148</v>
      </c>
      <c r="G80" s="117"/>
      <c r="H80" s="146">
        <f t="shared" si="10"/>
        <v>419148</v>
      </c>
      <c r="I80" s="146"/>
      <c r="J80" s="146"/>
      <c r="K80" s="146"/>
      <c r="L80" s="222">
        <f t="shared" si="11"/>
        <v>419148</v>
      </c>
      <c r="M80" s="222"/>
      <c r="N80" s="154"/>
      <c r="O80" s="146">
        <f t="shared" si="12"/>
        <v>419148</v>
      </c>
      <c r="P80" s="204"/>
      <c r="Q80" s="146"/>
      <c r="R80" s="146">
        <f t="shared" si="13"/>
        <v>419148</v>
      </c>
      <c r="S80" s="212"/>
    </row>
    <row r="81" spans="1:19" s="126" customFormat="1" ht="25.5" customHeight="1">
      <c r="A81" s="120"/>
      <c r="B81" s="120"/>
      <c r="C81" s="119">
        <v>6</v>
      </c>
      <c r="D81" s="118" t="s">
        <v>421</v>
      </c>
      <c r="E81" s="118" t="s">
        <v>420</v>
      </c>
      <c r="F81" s="117">
        <v>67805</v>
      </c>
      <c r="G81" s="117"/>
      <c r="H81" s="146">
        <f t="shared" si="10"/>
        <v>67805</v>
      </c>
      <c r="I81" s="146"/>
      <c r="J81" s="146"/>
      <c r="K81" s="146"/>
      <c r="L81" s="154">
        <f t="shared" si="11"/>
        <v>67805</v>
      </c>
      <c r="M81" s="154"/>
      <c r="N81" s="154"/>
      <c r="O81" s="146">
        <f t="shared" si="12"/>
        <v>67805</v>
      </c>
      <c r="P81" s="146"/>
      <c r="Q81" s="146"/>
      <c r="R81" s="146">
        <f t="shared" si="13"/>
        <v>67805</v>
      </c>
      <c r="S81" s="212"/>
    </row>
    <row r="82" spans="1:19" s="126" customFormat="1" ht="24.75" customHeight="1">
      <c r="A82" s="120"/>
      <c r="B82" s="120"/>
      <c r="C82" s="119">
        <v>7</v>
      </c>
      <c r="D82" s="118" t="s">
        <v>419</v>
      </c>
      <c r="E82" s="118" t="s">
        <v>418</v>
      </c>
      <c r="F82" s="117">
        <v>44759</v>
      </c>
      <c r="G82" s="117">
        <v>55699</v>
      </c>
      <c r="H82" s="146">
        <f t="shared" si="10"/>
        <v>100458</v>
      </c>
      <c r="I82" s="146"/>
      <c r="J82" s="146"/>
      <c r="K82" s="146"/>
      <c r="L82" s="154">
        <f t="shared" si="11"/>
        <v>100458</v>
      </c>
      <c r="M82" s="154"/>
      <c r="N82" s="154"/>
      <c r="O82" s="146">
        <f t="shared" si="12"/>
        <v>100458</v>
      </c>
      <c r="P82" s="146"/>
      <c r="Q82" s="146"/>
      <c r="R82" s="146">
        <f t="shared" si="13"/>
        <v>100458</v>
      </c>
      <c r="S82" s="212"/>
    </row>
    <row r="83" spans="1:19" s="126" customFormat="1" ht="37.5" customHeight="1">
      <c r="A83" s="120"/>
      <c r="B83" s="120"/>
      <c r="C83" s="119">
        <v>8</v>
      </c>
      <c r="D83" s="118" t="s">
        <v>417</v>
      </c>
      <c r="E83" s="118" t="s">
        <v>416</v>
      </c>
      <c r="F83" s="117">
        <v>129956</v>
      </c>
      <c r="G83" s="117">
        <v>21586</v>
      </c>
      <c r="H83" s="146">
        <f t="shared" si="10"/>
        <v>151542</v>
      </c>
      <c r="I83" s="146"/>
      <c r="J83" s="146"/>
      <c r="K83" s="146"/>
      <c r="L83" s="154">
        <f t="shared" si="11"/>
        <v>151542</v>
      </c>
      <c r="M83" s="154"/>
      <c r="N83" s="154"/>
      <c r="O83" s="146">
        <f t="shared" si="12"/>
        <v>151542</v>
      </c>
      <c r="P83" s="146"/>
      <c r="Q83" s="146"/>
      <c r="R83" s="146">
        <f t="shared" si="13"/>
        <v>151542</v>
      </c>
      <c r="S83" s="212"/>
    </row>
    <row r="84" spans="1:19" s="126" customFormat="1" ht="88.5" customHeight="1">
      <c r="A84" s="120"/>
      <c r="B84" s="120"/>
      <c r="C84" s="119">
        <v>9</v>
      </c>
      <c r="D84" s="118" t="s">
        <v>415</v>
      </c>
      <c r="E84" s="118" t="s">
        <v>414</v>
      </c>
      <c r="F84" s="117">
        <v>2568239</v>
      </c>
      <c r="G84" s="117">
        <f>312419+516-32404</f>
        <v>280531</v>
      </c>
      <c r="H84" s="185">
        <f t="shared" si="10"/>
        <v>2848770</v>
      </c>
      <c r="I84" s="185"/>
      <c r="J84" s="185"/>
      <c r="K84" s="185"/>
      <c r="L84" s="154">
        <f t="shared" si="11"/>
        <v>2848770</v>
      </c>
      <c r="M84" s="154"/>
      <c r="N84" s="154"/>
      <c r="O84" s="146">
        <f t="shared" si="12"/>
        <v>2848770</v>
      </c>
      <c r="P84" s="146"/>
      <c r="Q84" s="185"/>
      <c r="R84" s="146">
        <f t="shared" si="13"/>
        <v>2848770</v>
      </c>
      <c r="S84" s="212"/>
    </row>
    <row r="85" spans="1:19" s="126" customFormat="1" ht="54.75" customHeight="1">
      <c r="A85" s="120"/>
      <c r="B85" s="120"/>
      <c r="C85" s="119">
        <v>10</v>
      </c>
      <c r="D85" s="118" t="s">
        <v>413</v>
      </c>
      <c r="E85" s="118" t="s">
        <v>412</v>
      </c>
      <c r="F85" s="117">
        <v>5120843</v>
      </c>
      <c r="G85" s="117">
        <f>828323-516+32404</f>
        <v>860211</v>
      </c>
      <c r="H85" s="185">
        <f t="shared" si="10"/>
        <v>5981054</v>
      </c>
      <c r="I85" s="185"/>
      <c r="J85" s="185">
        <v>6029</v>
      </c>
      <c r="K85" s="185"/>
      <c r="L85" s="154">
        <f t="shared" si="11"/>
        <v>5987083</v>
      </c>
      <c r="M85" s="154"/>
      <c r="N85" s="154"/>
      <c r="O85" s="146">
        <f t="shared" si="12"/>
        <v>5987083</v>
      </c>
      <c r="P85" s="185">
        <v>1921</v>
      </c>
      <c r="Q85" s="185"/>
      <c r="R85" s="146">
        <f t="shared" si="13"/>
        <v>5989004</v>
      </c>
      <c r="S85" s="212"/>
    </row>
    <row r="86" spans="1:19" s="126" customFormat="1" ht="35.25" customHeight="1">
      <c r="A86" s="120"/>
      <c r="B86" s="120"/>
      <c r="C86" s="119">
        <v>11</v>
      </c>
      <c r="D86" s="118" t="s">
        <v>411</v>
      </c>
      <c r="E86" s="118" t="s">
        <v>410</v>
      </c>
      <c r="F86" s="117">
        <v>811334</v>
      </c>
      <c r="G86" s="117"/>
      <c r="H86" s="146">
        <f t="shared" si="10"/>
        <v>811334</v>
      </c>
      <c r="I86" s="146"/>
      <c r="J86" s="146"/>
      <c r="K86" s="146"/>
      <c r="L86" s="154">
        <f t="shared" si="11"/>
        <v>811334</v>
      </c>
      <c r="M86" s="154"/>
      <c r="N86" s="154"/>
      <c r="O86" s="146">
        <f t="shared" si="12"/>
        <v>811334</v>
      </c>
      <c r="P86" s="185"/>
      <c r="Q86" s="146"/>
      <c r="R86" s="146">
        <f t="shared" si="13"/>
        <v>811334</v>
      </c>
      <c r="S86" s="212"/>
    </row>
    <row r="87" spans="1:19" s="258" customFormat="1" ht="97.5" customHeight="1">
      <c r="A87" s="254"/>
      <c r="B87" s="254"/>
      <c r="C87" s="255">
        <v>12</v>
      </c>
      <c r="D87" s="244" t="s">
        <v>584</v>
      </c>
      <c r="E87" s="244" t="s">
        <v>589</v>
      </c>
      <c r="F87" s="256"/>
      <c r="G87" s="256"/>
      <c r="H87" s="204"/>
      <c r="I87" s="204"/>
      <c r="J87" s="204"/>
      <c r="K87" s="204"/>
      <c r="L87" s="222"/>
      <c r="M87" s="222"/>
      <c r="N87" s="222"/>
      <c r="O87" s="204"/>
      <c r="P87" s="205">
        <v>4086</v>
      </c>
      <c r="Q87" s="204"/>
      <c r="R87" s="146">
        <f t="shared" si="13"/>
        <v>4086</v>
      </c>
      <c r="S87" s="257"/>
    </row>
    <row r="88" spans="1:19" s="126" customFormat="1" ht="26.25" customHeight="1">
      <c r="A88" s="120"/>
      <c r="B88" s="120"/>
      <c r="C88" s="119">
        <v>13</v>
      </c>
      <c r="D88" s="118" t="s">
        <v>409</v>
      </c>
      <c r="E88" s="118" t="s">
        <v>408</v>
      </c>
      <c r="F88" s="117">
        <v>12546</v>
      </c>
      <c r="G88" s="117"/>
      <c r="H88" s="146">
        <f t="shared" si="10"/>
        <v>12546</v>
      </c>
      <c r="I88" s="146"/>
      <c r="J88" s="146"/>
      <c r="K88" s="146"/>
      <c r="L88" s="154">
        <f t="shared" si="11"/>
        <v>12546</v>
      </c>
      <c r="M88" s="154"/>
      <c r="N88" s="154"/>
      <c r="O88" s="146">
        <f t="shared" si="12"/>
        <v>12546</v>
      </c>
      <c r="P88" s="146"/>
      <c r="Q88" s="146"/>
      <c r="R88" s="146">
        <f t="shared" si="13"/>
        <v>12546</v>
      </c>
      <c r="S88" s="212"/>
    </row>
    <row r="89" spans="1:19" s="126" customFormat="1" ht="73.5" customHeight="1">
      <c r="A89" s="120"/>
      <c r="B89" s="120"/>
      <c r="C89" s="119">
        <v>14</v>
      </c>
      <c r="D89" s="118" t="s">
        <v>407</v>
      </c>
      <c r="E89" s="118" t="s">
        <v>406</v>
      </c>
      <c r="F89" s="117">
        <v>652399</v>
      </c>
      <c r="G89" s="117"/>
      <c r="H89" s="146">
        <f t="shared" si="10"/>
        <v>652399</v>
      </c>
      <c r="I89" s="146"/>
      <c r="J89" s="146"/>
      <c r="K89" s="146"/>
      <c r="L89" s="154">
        <f t="shared" si="11"/>
        <v>652399</v>
      </c>
      <c r="M89" s="154"/>
      <c r="N89" s="154"/>
      <c r="O89" s="146">
        <f t="shared" si="12"/>
        <v>652399</v>
      </c>
      <c r="P89" s="146"/>
      <c r="Q89" s="146"/>
      <c r="R89" s="146">
        <f t="shared" si="13"/>
        <v>652399</v>
      </c>
      <c r="S89" s="212"/>
    </row>
    <row r="90" spans="1:19" s="126" customFormat="1" ht="39" customHeight="1">
      <c r="A90" s="120"/>
      <c r="B90" s="120"/>
      <c r="C90" s="119">
        <v>16</v>
      </c>
      <c r="D90" s="118" t="s">
        <v>405</v>
      </c>
      <c r="E90" s="118" t="s">
        <v>404</v>
      </c>
      <c r="F90" s="117">
        <v>5193</v>
      </c>
      <c r="G90" s="117"/>
      <c r="H90" s="146">
        <f t="shared" si="10"/>
        <v>5193</v>
      </c>
      <c r="I90" s="146"/>
      <c r="J90" s="146"/>
      <c r="K90" s="146"/>
      <c r="L90" s="154">
        <f t="shared" si="11"/>
        <v>5193</v>
      </c>
      <c r="M90" s="154"/>
      <c r="N90" s="154"/>
      <c r="O90" s="146">
        <f t="shared" si="12"/>
        <v>5193</v>
      </c>
      <c r="P90" s="146"/>
      <c r="Q90" s="146"/>
      <c r="R90" s="146">
        <f t="shared" si="13"/>
        <v>5193</v>
      </c>
      <c r="S90" s="212"/>
    </row>
    <row r="91" spans="1:19" s="126" customFormat="1" ht="37.5">
      <c r="A91" s="120"/>
      <c r="B91" s="120"/>
      <c r="C91" s="119">
        <v>17</v>
      </c>
      <c r="D91" s="118" t="s">
        <v>403</v>
      </c>
      <c r="E91" s="118" t="s">
        <v>402</v>
      </c>
      <c r="F91" s="117">
        <v>1026</v>
      </c>
      <c r="G91" s="117"/>
      <c r="H91" s="146">
        <f t="shared" si="10"/>
        <v>1026</v>
      </c>
      <c r="I91" s="146"/>
      <c r="J91" s="146"/>
      <c r="K91" s="146"/>
      <c r="L91" s="154">
        <f t="shared" si="11"/>
        <v>1026</v>
      </c>
      <c r="M91" s="154"/>
      <c r="N91" s="154"/>
      <c r="O91" s="146">
        <f t="shared" si="12"/>
        <v>1026</v>
      </c>
      <c r="P91" s="146"/>
      <c r="Q91" s="146"/>
      <c r="R91" s="146">
        <f t="shared" si="13"/>
        <v>1026</v>
      </c>
      <c r="S91" s="212"/>
    </row>
    <row r="92" spans="1:19" s="126" customFormat="1" ht="36" customHeight="1">
      <c r="A92" s="120"/>
      <c r="B92" s="120"/>
      <c r="C92" s="119">
        <v>18</v>
      </c>
      <c r="D92" s="118" t="s">
        <v>401</v>
      </c>
      <c r="E92" s="118" t="s">
        <v>400</v>
      </c>
      <c r="F92" s="117">
        <v>13020</v>
      </c>
      <c r="G92" s="117"/>
      <c r="H92" s="146">
        <f t="shared" si="10"/>
        <v>13020</v>
      </c>
      <c r="I92" s="146"/>
      <c r="J92" s="146"/>
      <c r="K92" s="146"/>
      <c r="L92" s="154">
        <f t="shared" si="11"/>
        <v>13020</v>
      </c>
      <c r="M92" s="154"/>
      <c r="N92" s="154"/>
      <c r="O92" s="146">
        <f t="shared" si="12"/>
        <v>13020</v>
      </c>
      <c r="P92" s="146"/>
      <c r="Q92" s="146"/>
      <c r="R92" s="146">
        <f t="shared" si="13"/>
        <v>13020</v>
      </c>
      <c r="S92" s="212"/>
    </row>
    <row r="93" spans="1:19" s="126" customFormat="1" ht="35.25" customHeight="1">
      <c r="A93" s="120"/>
      <c r="B93" s="120"/>
      <c r="C93" s="119">
        <v>19</v>
      </c>
      <c r="D93" s="118" t="s">
        <v>399</v>
      </c>
      <c r="E93" s="118" t="s">
        <v>398</v>
      </c>
      <c r="F93" s="117"/>
      <c r="G93" s="117">
        <v>78379</v>
      </c>
      <c r="H93" s="146">
        <f t="shared" si="10"/>
        <v>78379</v>
      </c>
      <c r="I93" s="146"/>
      <c r="J93" s="146"/>
      <c r="K93" s="146"/>
      <c r="L93" s="154">
        <f t="shared" si="11"/>
        <v>78379</v>
      </c>
      <c r="M93" s="154"/>
      <c r="N93" s="154"/>
      <c r="O93" s="146">
        <f t="shared" si="12"/>
        <v>78379</v>
      </c>
      <c r="P93" s="146"/>
      <c r="Q93" s="146"/>
      <c r="R93" s="146">
        <f t="shared" si="13"/>
        <v>78379</v>
      </c>
      <c r="S93" s="212"/>
    </row>
    <row r="94" spans="1:19" s="126" customFormat="1" ht="43.5" customHeight="1">
      <c r="A94" s="120"/>
      <c r="B94" s="120"/>
      <c r="C94" s="119">
        <v>20</v>
      </c>
      <c r="D94" s="118" t="s">
        <v>397</v>
      </c>
      <c r="E94" s="118" t="s">
        <v>396</v>
      </c>
      <c r="F94" s="117">
        <v>123452</v>
      </c>
      <c r="G94" s="117">
        <v>126024</v>
      </c>
      <c r="H94" s="146">
        <f t="shared" si="10"/>
        <v>249476</v>
      </c>
      <c r="I94" s="146"/>
      <c r="J94" s="146"/>
      <c r="K94" s="146"/>
      <c r="L94" s="154">
        <f t="shared" si="11"/>
        <v>249476</v>
      </c>
      <c r="M94" s="154"/>
      <c r="N94" s="154"/>
      <c r="O94" s="146">
        <f t="shared" si="12"/>
        <v>249476</v>
      </c>
      <c r="P94" s="146"/>
      <c r="Q94" s="146"/>
      <c r="R94" s="146">
        <f t="shared" si="13"/>
        <v>249476</v>
      </c>
      <c r="S94" s="212"/>
    </row>
    <row r="95" spans="1:19" s="126" customFormat="1" ht="37.5">
      <c r="A95" s="120"/>
      <c r="B95" s="120"/>
      <c r="C95" s="119">
        <v>21</v>
      </c>
      <c r="D95" s="118" t="s">
        <v>395</v>
      </c>
      <c r="E95" s="118" t="s">
        <v>394</v>
      </c>
      <c r="F95" s="117"/>
      <c r="G95" s="117">
        <v>150511</v>
      </c>
      <c r="H95" s="146">
        <f t="shared" si="10"/>
        <v>150511</v>
      </c>
      <c r="I95" s="146"/>
      <c r="J95" s="146"/>
      <c r="K95" s="146"/>
      <c r="L95" s="222">
        <f t="shared" si="11"/>
        <v>150511</v>
      </c>
      <c r="M95" s="222"/>
      <c r="N95" s="154"/>
      <c r="O95" s="146">
        <f t="shared" si="12"/>
        <v>150511</v>
      </c>
      <c r="P95" s="204"/>
      <c r="Q95" s="146"/>
      <c r="R95" s="146">
        <f t="shared" si="13"/>
        <v>150511</v>
      </c>
      <c r="S95" s="212"/>
    </row>
    <row r="96" spans="1:19" s="126" customFormat="1" ht="75.75" customHeight="1">
      <c r="A96" s="120"/>
      <c r="B96" s="120"/>
      <c r="C96" s="119">
        <v>22</v>
      </c>
      <c r="D96" s="118" t="s">
        <v>393</v>
      </c>
      <c r="E96" s="118" t="s">
        <v>392</v>
      </c>
      <c r="F96" s="117">
        <v>29008</v>
      </c>
      <c r="G96" s="117"/>
      <c r="H96" s="146">
        <f t="shared" si="10"/>
        <v>29008</v>
      </c>
      <c r="I96" s="146"/>
      <c r="J96" s="146"/>
      <c r="K96" s="146"/>
      <c r="L96" s="222">
        <f t="shared" si="11"/>
        <v>29008</v>
      </c>
      <c r="M96" s="222"/>
      <c r="N96" s="154"/>
      <c r="O96" s="146">
        <f t="shared" si="12"/>
        <v>29008</v>
      </c>
      <c r="P96" s="204"/>
      <c r="Q96" s="146"/>
      <c r="R96" s="146">
        <f t="shared" si="13"/>
        <v>29008</v>
      </c>
      <c r="S96" s="212"/>
    </row>
    <row r="97" spans="1:19" s="126" customFormat="1" ht="42.75" customHeight="1">
      <c r="A97" s="120"/>
      <c r="B97" s="120"/>
      <c r="C97" s="119">
        <v>26</v>
      </c>
      <c r="D97" s="118" t="s">
        <v>391</v>
      </c>
      <c r="E97" s="118" t="s">
        <v>390</v>
      </c>
      <c r="F97" s="117"/>
      <c r="G97" s="117">
        <v>426446</v>
      </c>
      <c r="H97" s="146">
        <f t="shared" si="10"/>
        <v>426446</v>
      </c>
      <c r="I97" s="146"/>
      <c r="J97" s="146"/>
      <c r="K97" s="146"/>
      <c r="L97" s="154">
        <f t="shared" si="11"/>
        <v>426446</v>
      </c>
      <c r="M97" s="154"/>
      <c r="N97" s="154"/>
      <c r="O97" s="146">
        <f t="shared" si="12"/>
        <v>426446</v>
      </c>
      <c r="P97" s="146"/>
      <c r="Q97" s="146"/>
      <c r="R97" s="146">
        <f t="shared" si="13"/>
        <v>426446</v>
      </c>
      <c r="S97" s="212"/>
    </row>
    <row r="98" spans="1:19" s="126" customFormat="1" ht="55.5" customHeight="1">
      <c r="A98" s="187"/>
      <c r="B98" s="187"/>
      <c r="C98" s="188">
        <v>27</v>
      </c>
      <c r="D98" s="189" t="s">
        <v>389</v>
      </c>
      <c r="E98" s="189" t="s">
        <v>388</v>
      </c>
      <c r="F98" s="190">
        <v>74295</v>
      </c>
      <c r="G98" s="190">
        <v>125440</v>
      </c>
      <c r="H98" s="185">
        <f t="shared" si="10"/>
        <v>199735</v>
      </c>
      <c r="I98" s="185"/>
      <c r="J98" s="185"/>
      <c r="K98" s="185"/>
      <c r="L98" s="154">
        <f t="shared" si="11"/>
        <v>199735</v>
      </c>
      <c r="M98" s="154"/>
      <c r="N98" s="154"/>
      <c r="O98" s="146">
        <f t="shared" si="12"/>
        <v>199735</v>
      </c>
      <c r="P98" s="185"/>
      <c r="Q98" s="185"/>
      <c r="R98" s="146">
        <f t="shared" si="13"/>
        <v>199735</v>
      </c>
      <c r="S98" s="212"/>
    </row>
    <row r="99" spans="1:19" s="126" customFormat="1" ht="33.75" customHeight="1">
      <c r="A99" s="120"/>
      <c r="B99" s="120"/>
      <c r="C99" s="119">
        <v>29</v>
      </c>
      <c r="D99" s="118" t="s">
        <v>387</v>
      </c>
      <c r="E99" s="118" t="s">
        <v>386</v>
      </c>
      <c r="F99" s="117">
        <v>35010</v>
      </c>
      <c r="G99" s="117"/>
      <c r="H99" s="146">
        <f t="shared" si="10"/>
        <v>35010</v>
      </c>
      <c r="I99" s="146"/>
      <c r="J99" s="146"/>
      <c r="K99" s="146"/>
      <c r="L99" s="154">
        <f t="shared" si="11"/>
        <v>35010</v>
      </c>
      <c r="M99" s="154"/>
      <c r="N99" s="154"/>
      <c r="O99" s="146">
        <f t="shared" si="12"/>
        <v>35010</v>
      </c>
      <c r="P99" s="146"/>
      <c r="Q99" s="146"/>
      <c r="R99" s="146">
        <f t="shared" si="13"/>
        <v>35010</v>
      </c>
      <c r="S99" s="212"/>
    </row>
    <row r="100" spans="1:19" s="126" customFormat="1" ht="37.5">
      <c r="A100" s="120"/>
      <c r="B100" s="120"/>
      <c r="C100" s="119">
        <v>30</v>
      </c>
      <c r="D100" s="118" t="s">
        <v>385</v>
      </c>
      <c r="E100" s="118" t="s">
        <v>384</v>
      </c>
      <c r="F100" s="117">
        <v>3825</v>
      </c>
      <c r="G100" s="117"/>
      <c r="H100" s="146">
        <f t="shared" si="10"/>
        <v>3825</v>
      </c>
      <c r="I100" s="146"/>
      <c r="J100" s="146"/>
      <c r="K100" s="146"/>
      <c r="L100" s="154">
        <f t="shared" si="11"/>
        <v>3825</v>
      </c>
      <c r="M100" s="154"/>
      <c r="N100" s="154"/>
      <c r="O100" s="146">
        <f t="shared" si="12"/>
        <v>3825</v>
      </c>
      <c r="P100" s="146"/>
      <c r="Q100" s="146"/>
      <c r="R100" s="146">
        <f t="shared" si="13"/>
        <v>3825</v>
      </c>
      <c r="S100" s="212"/>
    </row>
    <row r="101" spans="1:19" s="126" customFormat="1" ht="45" customHeight="1">
      <c r="A101" s="120"/>
      <c r="B101" s="120"/>
      <c r="C101" s="119">
        <v>33</v>
      </c>
      <c r="D101" s="118" t="s">
        <v>383</v>
      </c>
      <c r="E101" s="118" t="s">
        <v>382</v>
      </c>
      <c r="F101" s="117">
        <v>400000</v>
      </c>
      <c r="G101" s="117">
        <v>825246</v>
      </c>
      <c r="H101" s="146">
        <f t="shared" si="10"/>
        <v>1225246</v>
      </c>
      <c r="I101" s="146"/>
      <c r="J101" s="146">
        <v>35300</v>
      </c>
      <c r="K101" s="146"/>
      <c r="L101" s="154">
        <f t="shared" si="11"/>
        <v>1260546</v>
      </c>
      <c r="M101" s="154"/>
      <c r="N101" s="154"/>
      <c r="O101" s="146">
        <f t="shared" si="12"/>
        <v>1260546</v>
      </c>
      <c r="P101" s="185">
        <v>50000</v>
      </c>
      <c r="Q101" s="146"/>
      <c r="R101" s="146">
        <f t="shared" si="13"/>
        <v>1310546</v>
      </c>
      <c r="S101" s="212"/>
    </row>
    <row r="102" spans="1:21" s="126" customFormat="1" ht="42.75" customHeight="1">
      <c r="A102" s="120"/>
      <c r="B102" s="120"/>
      <c r="C102" s="119">
        <v>36</v>
      </c>
      <c r="D102" s="118" t="s">
        <v>381</v>
      </c>
      <c r="E102" s="118" t="s">
        <v>380</v>
      </c>
      <c r="F102" s="117"/>
      <c r="G102" s="117">
        <v>30896</v>
      </c>
      <c r="H102" s="146">
        <f t="shared" si="10"/>
        <v>30896</v>
      </c>
      <c r="I102" s="146"/>
      <c r="J102" s="146"/>
      <c r="K102" s="146"/>
      <c r="L102" s="154">
        <f t="shared" si="11"/>
        <v>30896</v>
      </c>
      <c r="M102" s="154"/>
      <c r="N102" s="154"/>
      <c r="O102" s="146">
        <f t="shared" si="12"/>
        <v>30896</v>
      </c>
      <c r="P102" s="146"/>
      <c r="Q102" s="146"/>
      <c r="R102" s="146">
        <f t="shared" si="13"/>
        <v>30896</v>
      </c>
      <c r="S102" s="212"/>
      <c r="U102" s="126">
        <v>25</v>
      </c>
    </row>
    <row r="103" spans="1:19" s="126" customFormat="1" ht="57.75" customHeight="1">
      <c r="A103" s="120"/>
      <c r="B103" s="120"/>
      <c r="C103" s="119">
        <v>37</v>
      </c>
      <c r="D103" s="118" t="s">
        <v>559</v>
      </c>
      <c r="E103" s="118" t="s">
        <v>550</v>
      </c>
      <c r="F103" s="117"/>
      <c r="G103" s="117"/>
      <c r="H103" s="146"/>
      <c r="I103" s="146"/>
      <c r="J103" s="146">
        <v>359.9</v>
      </c>
      <c r="K103" s="146"/>
      <c r="L103" s="154">
        <f t="shared" si="11"/>
        <v>359.9</v>
      </c>
      <c r="M103" s="154"/>
      <c r="N103" s="154"/>
      <c r="O103" s="146">
        <f t="shared" si="12"/>
        <v>359.9</v>
      </c>
      <c r="P103" s="146"/>
      <c r="Q103" s="146"/>
      <c r="R103" s="146">
        <f t="shared" si="13"/>
        <v>359.9</v>
      </c>
      <c r="S103" s="212"/>
    </row>
    <row r="104" spans="1:19" s="126" customFormat="1" ht="23.25" customHeight="1">
      <c r="A104" s="67"/>
      <c r="B104" s="67">
        <v>271</v>
      </c>
      <c r="C104" s="67"/>
      <c r="D104" s="65" t="s">
        <v>179</v>
      </c>
      <c r="E104" s="65" t="s">
        <v>178</v>
      </c>
      <c r="F104" s="121">
        <f>F105</f>
        <v>37756</v>
      </c>
      <c r="G104" s="121">
        <f>G105</f>
        <v>246358</v>
      </c>
      <c r="H104" s="152">
        <f>H105</f>
        <v>284114</v>
      </c>
      <c r="I104" s="152"/>
      <c r="J104" s="152">
        <f>J105</f>
        <v>275360.9</v>
      </c>
      <c r="K104" s="152">
        <f>K105</f>
        <v>0</v>
      </c>
      <c r="L104" s="220">
        <f>L105</f>
        <v>559474.9</v>
      </c>
      <c r="M104" s="220"/>
      <c r="N104" s="220">
        <f>N105</f>
        <v>0</v>
      </c>
      <c r="O104" s="152">
        <f>O105</f>
        <v>559474.9</v>
      </c>
      <c r="P104" s="152">
        <f>P105</f>
        <v>44932</v>
      </c>
      <c r="Q104" s="152">
        <f>Q105</f>
        <v>-255</v>
      </c>
      <c r="R104" s="152">
        <f>R105</f>
        <v>604151.9</v>
      </c>
      <c r="S104" s="212"/>
    </row>
    <row r="105" spans="1:19" s="126" customFormat="1" ht="37.5">
      <c r="A105" s="120"/>
      <c r="B105" s="120"/>
      <c r="C105" s="119">
        <v>38</v>
      </c>
      <c r="D105" s="118" t="s">
        <v>379</v>
      </c>
      <c r="E105" s="118" t="s">
        <v>378</v>
      </c>
      <c r="F105" s="117">
        <v>37756</v>
      </c>
      <c r="G105" s="117">
        <v>246358</v>
      </c>
      <c r="H105" s="146">
        <f>F105+G105</f>
        <v>284114</v>
      </c>
      <c r="I105" s="146"/>
      <c r="J105" s="146">
        <f>235475.6+30005.3+2380+7500</f>
        <v>275360.9</v>
      </c>
      <c r="K105" s="146"/>
      <c r="L105" s="154">
        <f>H105+J105</f>
        <v>559474.9</v>
      </c>
      <c r="M105" s="154"/>
      <c r="N105" s="154"/>
      <c r="O105" s="146">
        <f t="shared" si="12"/>
        <v>559474.9</v>
      </c>
      <c r="P105" s="185">
        <f>17500+6000+11212+10220</f>
        <v>44932</v>
      </c>
      <c r="Q105" s="146">
        <f>-255</f>
        <v>-255</v>
      </c>
      <c r="R105" s="146">
        <f t="shared" si="13"/>
        <v>604151.9</v>
      </c>
      <c r="S105" s="212"/>
    </row>
    <row r="106" spans="1:19" s="126" customFormat="1" ht="36" customHeight="1">
      <c r="A106" s="131">
        <v>6</v>
      </c>
      <c r="B106" s="131"/>
      <c r="C106" s="130"/>
      <c r="D106" s="129" t="s">
        <v>377</v>
      </c>
      <c r="E106" s="129" t="s">
        <v>376</v>
      </c>
      <c r="F106" s="128">
        <f>F107+F117</f>
        <v>2524743</v>
      </c>
      <c r="G106" s="128">
        <f>G107+G117</f>
        <v>134810</v>
      </c>
      <c r="H106" s="153">
        <f>H107+H117+H120</f>
        <v>2659553</v>
      </c>
      <c r="I106" s="153"/>
      <c r="J106" s="153">
        <f>J107+J117+J120</f>
        <v>182052</v>
      </c>
      <c r="K106" s="153">
        <f>K107+K117+K120</f>
        <v>0</v>
      </c>
      <c r="L106" s="223">
        <f>L107+L117+L120</f>
        <v>2841605</v>
      </c>
      <c r="M106" s="223"/>
      <c r="N106" s="223">
        <f>N107+N117+N120</f>
        <v>0</v>
      </c>
      <c r="O106" s="153">
        <f>O107+O117+O120</f>
        <v>2841605</v>
      </c>
      <c r="P106" s="153">
        <f>P107+P117+P120</f>
        <v>6912.7</v>
      </c>
      <c r="Q106" s="153">
        <f>Q107+Q117+Q120</f>
        <v>-211.5</v>
      </c>
      <c r="R106" s="153">
        <f>R107+R117+R120</f>
        <v>2848306.2</v>
      </c>
      <c r="S106" s="212"/>
    </row>
    <row r="107" spans="1:19" s="126" customFormat="1" ht="40.5" customHeight="1">
      <c r="A107" s="67"/>
      <c r="B107" s="67">
        <v>256</v>
      </c>
      <c r="C107" s="67"/>
      <c r="D107" s="65" t="s">
        <v>213</v>
      </c>
      <c r="E107" s="65" t="s">
        <v>212</v>
      </c>
      <c r="F107" s="121">
        <f>SUM(F108:F116)</f>
        <v>1189069</v>
      </c>
      <c r="G107" s="121">
        <f>SUM(G108:G116)</f>
        <v>125172</v>
      </c>
      <c r="H107" s="152">
        <f>SUM(H108:H116)</f>
        <v>1314241</v>
      </c>
      <c r="I107" s="152"/>
      <c r="J107" s="152">
        <f>SUM(J108:J116)</f>
        <v>172991</v>
      </c>
      <c r="K107" s="152">
        <f>SUM(K108:K116)</f>
        <v>0</v>
      </c>
      <c r="L107" s="220">
        <f>SUM(L108:L116)</f>
        <v>1487232</v>
      </c>
      <c r="M107" s="220"/>
      <c r="N107" s="220">
        <f>SUM(N108:N116)</f>
        <v>0</v>
      </c>
      <c r="O107" s="152">
        <f>SUM(O108:O116)</f>
        <v>1487232</v>
      </c>
      <c r="P107" s="152">
        <f>SUM(P108:P116)</f>
        <v>208.7</v>
      </c>
      <c r="Q107" s="152">
        <f>SUM(Q108:Q116)</f>
        <v>-211.5</v>
      </c>
      <c r="R107" s="152">
        <f>SUM(R108:R116)</f>
        <v>1487229.2</v>
      </c>
      <c r="S107" s="212"/>
    </row>
    <row r="108" spans="1:19" s="126" customFormat="1" ht="75" customHeight="1">
      <c r="A108" s="120"/>
      <c r="B108" s="120"/>
      <c r="C108" s="119">
        <v>1</v>
      </c>
      <c r="D108" s="118" t="s">
        <v>375</v>
      </c>
      <c r="E108" s="118" t="s">
        <v>374</v>
      </c>
      <c r="F108" s="117">
        <v>66932</v>
      </c>
      <c r="G108" s="117"/>
      <c r="H108" s="146">
        <f aca="true" t="shared" si="14" ref="H108:H116">F108+G108</f>
        <v>66932</v>
      </c>
      <c r="I108" s="146"/>
      <c r="J108" s="146"/>
      <c r="K108" s="146"/>
      <c r="L108" s="154">
        <f aca="true" t="shared" si="15" ref="L108:L116">H108+J108</f>
        <v>66932</v>
      </c>
      <c r="M108" s="154"/>
      <c r="N108" s="154"/>
      <c r="O108" s="146">
        <f aca="true" t="shared" si="16" ref="O108:O121">L108+N108</f>
        <v>66932</v>
      </c>
      <c r="P108" s="146"/>
      <c r="Q108" s="146">
        <f>-5.3</f>
        <v>-5.3</v>
      </c>
      <c r="R108" s="146">
        <f aca="true" t="shared" si="17" ref="R108:R121">O108+P108+Q108</f>
        <v>66926.7</v>
      </c>
      <c r="S108" s="212"/>
    </row>
    <row r="109" spans="1:19" s="126" customFormat="1" ht="66" customHeight="1">
      <c r="A109" s="120"/>
      <c r="B109" s="120"/>
      <c r="C109" s="119">
        <v>2</v>
      </c>
      <c r="D109" s="118" t="s">
        <v>373</v>
      </c>
      <c r="E109" s="118" t="s">
        <v>372</v>
      </c>
      <c r="F109" s="117">
        <v>351607</v>
      </c>
      <c r="G109" s="117">
        <v>75655</v>
      </c>
      <c r="H109" s="146">
        <f t="shared" si="14"/>
        <v>427262</v>
      </c>
      <c r="I109" s="146"/>
      <c r="J109" s="146"/>
      <c r="K109" s="146"/>
      <c r="L109" s="222">
        <f t="shared" si="15"/>
        <v>427262</v>
      </c>
      <c r="M109" s="222"/>
      <c r="N109" s="154"/>
      <c r="O109" s="146">
        <f t="shared" si="16"/>
        <v>427262</v>
      </c>
      <c r="P109" s="204">
        <v>194.7</v>
      </c>
      <c r="Q109" s="146">
        <f>-20.9</f>
        <v>-20.9</v>
      </c>
      <c r="R109" s="146">
        <f t="shared" si="17"/>
        <v>427435.8</v>
      </c>
      <c r="S109" s="212"/>
    </row>
    <row r="110" spans="1:19" s="126" customFormat="1" ht="30" customHeight="1">
      <c r="A110" s="120"/>
      <c r="B110" s="120"/>
      <c r="C110" s="119">
        <v>3</v>
      </c>
      <c r="D110" s="118" t="s">
        <v>371</v>
      </c>
      <c r="E110" s="118" t="s">
        <v>370</v>
      </c>
      <c r="F110" s="117">
        <v>109453</v>
      </c>
      <c r="G110" s="117"/>
      <c r="H110" s="146">
        <f t="shared" si="14"/>
        <v>109453</v>
      </c>
      <c r="I110" s="146"/>
      <c r="J110" s="146"/>
      <c r="K110" s="146"/>
      <c r="L110" s="222">
        <f t="shared" si="15"/>
        <v>109453</v>
      </c>
      <c r="M110" s="222"/>
      <c r="N110" s="154"/>
      <c r="O110" s="146">
        <f t="shared" si="16"/>
        <v>109453</v>
      </c>
      <c r="P110" s="204"/>
      <c r="Q110" s="146"/>
      <c r="R110" s="146">
        <f t="shared" si="17"/>
        <v>109453</v>
      </c>
      <c r="S110" s="212"/>
    </row>
    <row r="111" spans="1:19" s="126" customFormat="1" ht="30" customHeight="1">
      <c r="A111" s="120"/>
      <c r="B111" s="120"/>
      <c r="C111" s="119">
        <v>7</v>
      </c>
      <c r="D111" s="118" t="s">
        <v>219</v>
      </c>
      <c r="E111" s="118" t="s">
        <v>218</v>
      </c>
      <c r="F111" s="117">
        <v>3825</v>
      </c>
      <c r="G111" s="117"/>
      <c r="H111" s="146">
        <f t="shared" si="14"/>
        <v>3825</v>
      </c>
      <c r="I111" s="146"/>
      <c r="J111" s="146"/>
      <c r="K111" s="146"/>
      <c r="L111" s="154">
        <f t="shared" si="15"/>
        <v>3825</v>
      </c>
      <c r="M111" s="154"/>
      <c r="N111" s="154"/>
      <c r="O111" s="146">
        <f t="shared" si="16"/>
        <v>3825</v>
      </c>
      <c r="P111" s="146"/>
      <c r="Q111" s="146"/>
      <c r="R111" s="146">
        <f t="shared" si="17"/>
        <v>3825</v>
      </c>
      <c r="S111" s="212"/>
    </row>
    <row r="112" spans="1:19" s="126" customFormat="1" ht="75">
      <c r="A112" s="120"/>
      <c r="B112" s="120"/>
      <c r="C112" s="119">
        <v>13</v>
      </c>
      <c r="D112" s="118" t="s">
        <v>369</v>
      </c>
      <c r="E112" s="118" t="s">
        <v>368</v>
      </c>
      <c r="F112" s="117">
        <v>363401</v>
      </c>
      <c r="G112" s="117"/>
      <c r="H112" s="146">
        <f t="shared" si="14"/>
        <v>363401</v>
      </c>
      <c r="I112" s="146"/>
      <c r="J112" s="146"/>
      <c r="K112" s="146"/>
      <c r="L112" s="154">
        <f t="shared" si="15"/>
        <v>363401</v>
      </c>
      <c r="M112" s="154"/>
      <c r="N112" s="154"/>
      <c r="O112" s="146">
        <f t="shared" si="16"/>
        <v>363401</v>
      </c>
      <c r="P112" s="146">
        <v>14</v>
      </c>
      <c r="Q112" s="146">
        <f>-177.5</f>
        <v>-177.5</v>
      </c>
      <c r="R112" s="146">
        <f t="shared" si="17"/>
        <v>363237.5</v>
      </c>
      <c r="S112" s="212"/>
    </row>
    <row r="113" spans="1:19" s="126" customFormat="1" ht="75" customHeight="1">
      <c r="A113" s="120"/>
      <c r="B113" s="120"/>
      <c r="C113" s="119">
        <v>15</v>
      </c>
      <c r="D113" s="118" t="s">
        <v>367</v>
      </c>
      <c r="E113" s="118" t="s">
        <v>366</v>
      </c>
      <c r="F113" s="117">
        <v>246601</v>
      </c>
      <c r="G113" s="117">
        <v>6481</v>
      </c>
      <c r="H113" s="146">
        <f t="shared" si="14"/>
        <v>253082</v>
      </c>
      <c r="I113" s="146"/>
      <c r="J113" s="146"/>
      <c r="K113" s="146"/>
      <c r="L113" s="154">
        <f t="shared" si="15"/>
        <v>253082</v>
      </c>
      <c r="M113" s="154"/>
      <c r="N113" s="154"/>
      <c r="O113" s="146">
        <f t="shared" si="16"/>
        <v>253082</v>
      </c>
      <c r="P113" s="146"/>
      <c r="Q113" s="146">
        <f>-2.8-5</f>
        <v>-7.8</v>
      </c>
      <c r="R113" s="146">
        <f t="shared" si="17"/>
        <v>253074.2</v>
      </c>
      <c r="S113" s="212"/>
    </row>
    <row r="114" spans="1:19" s="126" customFormat="1" ht="56.25">
      <c r="A114" s="120"/>
      <c r="B114" s="120"/>
      <c r="C114" s="119">
        <v>18</v>
      </c>
      <c r="D114" s="118" t="s">
        <v>365</v>
      </c>
      <c r="E114" s="118" t="s">
        <v>364</v>
      </c>
      <c r="F114" s="117"/>
      <c r="G114" s="117">
        <v>43036</v>
      </c>
      <c r="H114" s="146">
        <f t="shared" si="14"/>
        <v>43036</v>
      </c>
      <c r="I114" s="146"/>
      <c r="J114" s="146"/>
      <c r="K114" s="146"/>
      <c r="L114" s="154">
        <f t="shared" si="15"/>
        <v>43036</v>
      </c>
      <c r="M114" s="154"/>
      <c r="N114" s="154"/>
      <c r="O114" s="146">
        <f t="shared" si="16"/>
        <v>43036</v>
      </c>
      <c r="P114" s="146"/>
      <c r="Q114" s="146"/>
      <c r="R114" s="146">
        <f t="shared" si="17"/>
        <v>43036</v>
      </c>
      <c r="S114" s="212"/>
    </row>
    <row r="115" spans="1:19" s="126" customFormat="1" ht="77.25" customHeight="1">
      <c r="A115" s="187"/>
      <c r="B115" s="187"/>
      <c r="C115" s="188">
        <v>37</v>
      </c>
      <c r="D115" s="193" t="s">
        <v>554</v>
      </c>
      <c r="E115" s="193" t="s">
        <v>547</v>
      </c>
      <c r="F115" s="190"/>
      <c r="G115" s="190"/>
      <c r="H115" s="185"/>
      <c r="I115" s="185"/>
      <c r="J115" s="185">
        <f>22880+5610+144501</f>
        <v>172991</v>
      </c>
      <c r="K115" s="185"/>
      <c r="L115" s="154">
        <f t="shared" si="15"/>
        <v>172991</v>
      </c>
      <c r="M115" s="154"/>
      <c r="N115" s="154"/>
      <c r="O115" s="146">
        <f t="shared" si="16"/>
        <v>172991</v>
      </c>
      <c r="P115" s="185"/>
      <c r="Q115" s="185"/>
      <c r="R115" s="146">
        <f t="shared" si="17"/>
        <v>172991</v>
      </c>
      <c r="S115" s="212"/>
    </row>
    <row r="116" spans="1:19" s="126" customFormat="1" ht="37.5">
      <c r="A116" s="120"/>
      <c r="B116" s="120"/>
      <c r="C116" s="119">
        <v>113</v>
      </c>
      <c r="D116" s="118" t="s">
        <v>217</v>
      </c>
      <c r="E116" s="118" t="s">
        <v>216</v>
      </c>
      <c r="F116" s="117">
        <v>47250</v>
      </c>
      <c r="G116" s="117"/>
      <c r="H116" s="146">
        <f t="shared" si="14"/>
        <v>47250</v>
      </c>
      <c r="I116" s="146"/>
      <c r="J116" s="146"/>
      <c r="K116" s="146"/>
      <c r="L116" s="154">
        <f t="shared" si="15"/>
        <v>47250</v>
      </c>
      <c r="M116" s="154"/>
      <c r="N116" s="154"/>
      <c r="O116" s="146">
        <f t="shared" si="16"/>
        <v>47250</v>
      </c>
      <c r="P116" s="146"/>
      <c r="Q116" s="146"/>
      <c r="R116" s="146">
        <f t="shared" si="17"/>
        <v>47250</v>
      </c>
      <c r="S116" s="212"/>
    </row>
    <row r="117" spans="1:19" s="126" customFormat="1" ht="25.5" customHeight="1">
      <c r="A117" s="67"/>
      <c r="B117" s="67">
        <v>261</v>
      </c>
      <c r="C117" s="67"/>
      <c r="D117" s="65" t="s">
        <v>205</v>
      </c>
      <c r="E117" s="65" t="s">
        <v>204</v>
      </c>
      <c r="F117" s="121">
        <f>SUM(F118:F119)</f>
        <v>1335674</v>
      </c>
      <c r="G117" s="121">
        <f>SUM(G118:G119)</f>
        <v>9638</v>
      </c>
      <c r="H117" s="152">
        <f>SUM(H118:H119)</f>
        <v>1345312</v>
      </c>
      <c r="I117" s="152"/>
      <c r="J117" s="152">
        <f>SUM(J118:J119)</f>
        <v>0</v>
      </c>
      <c r="K117" s="152">
        <f>SUM(K118:K119)</f>
        <v>0</v>
      </c>
      <c r="L117" s="220">
        <f>SUM(L118:L119)</f>
        <v>1345312</v>
      </c>
      <c r="M117" s="220"/>
      <c r="N117" s="220">
        <f>SUM(N118:N119)</f>
        <v>0</v>
      </c>
      <c r="O117" s="152">
        <f>SUM(O118:O119)</f>
        <v>1345312</v>
      </c>
      <c r="P117" s="152">
        <f>SUM(P118:P119)</f>
        <v>6704</v>
      </c>
      <c r="Q117" s="152">
        <f>SUM(Q118:Q119)</f>
        <v>0</v>
      </c>
      <c r="R117" s="152">
        <f>SUM(R118:R119)</f>
        <v>1352016</v>
      </c>
      <c r="S117" s="212"/>
    </row>
    <row r="118" spans="1:19" s="126" customFormat="1" ht="39" customHeight="1">
      <c r="A118" s="120"/>
      <c r="B118" s="120"/>
      <c r="C118" s="119">
        <v>15</v>
      </c>
      <c r="D118" s="118" t="s">
        <v>363</v>
      </c>
      <c r="E118" s="118" t="s">
        <v>362</v>
      </c>
      <c r="F118" s="117">
        <v>1299172</v>
      </c>
      <c r="G118" s="117">
        <v>9638</v>
      </c>
      <c r="H118" s="146">
        <f>F118+G118</f>
        <v>1308810</v>
      </c>
      <c r="I118" s="146"/>
      <c r="J118" s="146"/>
      <c r="K118" s="146"/>
      <c r="L118" s="154">
        <f>H118+J118</f>
        <v>1308810</v>
      </c>
      <c r="M118" s="154"/>
      <c r="N118" s="154"/>
      <c r="O118" s="146">
        <f t="shared" si="16"/>
        <v>1308810</v>
      </c>
      <c r="P118" s="146">
        <v>6548</v>
      </c>
      <c r="Q118" s="146"/>
      <c r="R118" s="146">
        <f t="shared" si="17"/>
        <v>1315358</v>
      </c>
      <c r="S118" s="212"/>
    </row>
    <row r="119" spans="1:19" s="126" customFormat="1" ht="24.75" customHeight="1">
      <c r="A119" s="120"/>
      <c r="B119" s="120"/>
      <c r="C119" s="119">
        <v>37</v>
      </c>
      <c r="D119" s="118" t="s">
        <v>361</v>
      </c>
      <c r="E119" s="118" t="s">
        <v>360</v>
      </c>
      <c r="F119" s="117">
        <v>36502</v>
      </c>
      <c r="G119" s="117"/>
      <c r="H119" s="146">
        <f>F119+G119</f>
        <v>36502</v>
      </c>
      <c r="I119" s="146"/>
      <c r="J119" s="146"/>
      <c r="K119" s="146"/>
      <c r="L119" s="154">
        <f>H119+J119</f>
        <v>36502</v>
      </c>
      <c r="M119" s="154"/>
      <c r="N119" s="154"/>
      <c r="O119" s="146">
        <f t="shared" si="16"/>
        <v>36502</v>
      </c>
      <c r="P119" s="146">
        <v>156</v>
      </c>
      <c r="Q119" s="146"/>
      <c r="R119" s="146">
        <f t="shared" si="17"/>
        <v>36658</v>
      </c>
      <c r="S119" s="212"/>
    </row>
    <row r="120" spans="1:19" s="126" customFormat="1" ht="38.25" customHeight="1">
      <c r="A120" s="67"/>
      <c r="B120" s="67">
        <v>265</v>
      </c>
      <c r="C120" s="67"/>
      <c r="D120" s="65" t="s">
        <v>169</v>
      </c>
      <c r="E120" s="65" t="s">
        <v>168</v>
      </c>
      <c r="F120" s="121"/>
      <c r="G120" s="121"/>
      <c r="H120" s="152">
        <f>H121</f>
        <v>0</v>
      </c>
      <c r="I120" s="152"/>
      <c r="J120" s="152">
        <f aca="true" t="shared" si="18" ref="J120:R120">J121</f>
        <v>9061</v>
      </c>
      <c r="K120" s="152">
        <f t="shared" si="18"/>
        <v>0</v>
      </c>
      <c r="L120" s="220">
        <f t="shared" si="18"/>
        <v>9061</v>
      </c>
      <c r="M120" s="220"/>
      <c r="N120" s="220">
        <f t="shared" si="18"/>
        <v>0</v>
      </c>
      <c r="O120" s="152">
        <f t="shared" si="18"/>
        <v>9061</v>
      </c>
      <c r="P120" s="152">
        <f t="shared" si="18"/>
        <v>0</v>
      </c>
      <c r="Q120" s="152">
        <f t="shared" si="18"/>
        <v>0</v>
      </c>
      <c r="R120" s="152">
        <f t="shared" si="18"/>
        <v>9061</v>
      </c>
      <c r="S120" s="212"/>
    </row>
    <row r="121" spans="1:19" s="126" customFormat="1" ht="37.5">
      <c r="A121" s="187"/>
      <c r="B121" s="187"/>
      <c r="C121" s="188">
        <v>18</v>
      </c>
      <c r="D121" s="189" t="s">
        <v>553</v>
      </c>
      <c r="E121" s="189" t="s">
        <v>548</v>
      </c>
      <c r="F121" s="190"/>
      <c r="G121" s="190"/>
      <c r="H121" s="185"/>
      <c r="I121" s="185"/>
      <c r="J121" s="185">
        <v>9061</v>
      </c>
      <c r="K121" s="185"/>
      <c r="L121" s="154">
        <f>H121+J121</f>
        <v>9061</v>
      </c>
      <c r="M121" s="154"/>
      <c r="N121" s="154"/>
      <c r="O121" s="146">
        <f t="shared" si="16"/>
        <v>9061</v>
      </c>
      <c r="P121" s="185"/>
      <c r="Q121" s="185"/>
      <c r="R121" s="146">
        <f t="shared" si="17"/>
        <v>9061</v>
      </c>
      <c r="S121" s="212"/>
    </row>
    <row r="122" spans="1:19" s="126" customFormat="1" ht="32.25" customHeight="1">
      <c r="A122" s="131">
        <v>7</v>
      </c>
      <c r="B122" s="131"/>
      <c r="C122" s="130"/>
      <c r="D122" s="129" t="s">
        <v>181</v>
      </c>
      <c r="E122" s="129" t="s">
        <v>180</v>
      </c>
      <c r="F122" s="128">
        <f>F123+F131</f>
        <v>1307439</v>
      </c>
      <c r="G122" s="128">
        <f>G123+G131</f>
        <v>11519119</v>
      </c>
      <c r="H122" s="153">
        <f>H123+H131</f>
        <v>12826558</v>
      </c>
      <c r="I122" s="153"/>
      <c r="J122" s="153">
        <f>J123+J131</f>
        <v>344200</v>
      </c>
      <c r="K122" s="153">
        <f>K123+K131</f>
        <v>-128390</v>
      </c>
      <c r="L122" s="223">
        <f>L123+L131</f>
        <v>13042368</v>
      </c>
      <c r="M122" s="223"/>
      <c r="N122" s="223">
        <f>N123+N131</f>
        <v>0</v>
      </c>
      <c r="O122" s="153">
        <f>O123+O131</f>
        <v>13042368</v>
      </c>
      <c r="P122" s="153">
        <f>P123+P131</f>
        <v>387310</v>
      </c>
      <c r="Q122" s="153">
        <f>Q123+Q131</f>
        <v>-49210</v>
      </c>
      <c r="R122" s="153">
        <f>R123+R131</f>
        <v>13380468</v>
      </c>
      <c r="S122" s="212"/>
    </row>
    <row r="123" spans="1:19" s="126" customFormat="1" ht="36" customHeight="1">
      <c r="A123" s="67"/>
      <c r="B123" s="67">
        <v>271</v>
      </c>
      <c r="C123" s="67"/>
      <c r="D123" s="65" t="s">
        <v>179</v>
      </c>
      <c r="E123" s="65" t="s">
        <v>178</v>
      </c>
      <c r="F123" s="121">
        <f>SUM(F124:F129)</f>
        <v>485808</v>
      </c>
      <c r="G123" s="121">
        <f>SUM(G124:G129)</f>
        <v>3811000</v>
      </c>
      <c r="H123" s="152">
        <f>SUM(H124:H130)</f>
        <v>4296808</v>
      </c>
      <c r="I123" s="152"/>
      <c r="J123" s="152">
        <f>SUM(J124:J130)</f>
        <v>344200</v>
      </c>
      <c r="K123" s="152">
        <f>SUM(K124:K130)</f>
        <v>-128390</v>
      </c>
      <c r="L123" s="221">
        <f>SUM(L124:L130)</f>
        <v>4512618</v>
      </c>
      <c r="M123" s="221"/>
      <c r="N123" s="220">
        <f>SUM(N124:N130)</f>
        <v>0</v>
      </c>
      <c r="O123" s="206">
        <f>SUM(O124:O130)</f>
        <v>4512618</v>
      </c>
      <c r="P123" s="206">
        <f>SUM(P124:P130)</f>
        <v>153114</v>
      </c>
      <c r="Q123" s="206">
        <f>SUM(Q124:Q130)</f>
        <v>-2200</v>
      </c>
      <c r="R123" s="206">
        <f>SUM(R124:R130)</f>
        <v>4663532</v>
      </c>
      <c r="S123" s="212"/>
    </row>
    <row r="124" spans="1:19" s="126" customFormat="1" ht="93" customHeight="1">
      <c r="A124" s="120"/>
      <c r="B124" s="120"/>
      <c r="C124" s="119">
        <v>14</v>
      </c>
      <c r="D124" s="118" t="s">
        <v>359</v>
      </c>
      <c r="E124" s="118" t="s">
        <v>358</v>
      </c>
      <c r="F124" s="117"/>
      <c r="G124" s="117">
        <v>586000</v>
      </c>
      <c r="H124" s="146">
        <f>F124+G124</f>
        <v>586000</v>
      </c>
      <c r="I124" s="146"/>
      <c r="J124" s="146"/>
      <c r="K124" s="146"/>
      <c r="L124" s="222">
        <f>H124+J124</f>
        <v>586000</v>
      </c>
      <c r="M124" s="222"/>
      <c r="N124" s="154"/>
      <c r="O124" s="146">
        <f aca="true" t="shared" si="19" ref="O124:O130">L124+N124</f>
        <v>586000</v>
      </c>
      <c r="P124" s="204"/>
      <c r="Q124" s="146"/>
      <c r="R124" s="146">
        <f aca="true" t="shared" si="20" ref="R124:S139">O124+P124+Q124</f>
        <v>586000</v>
      </c>
      <c r="S124" s="245"/>
    </row>
    <row r="125" spans="1:22" s="126" customFormat="1" ht="95.25" customHeight="1">
      <c r="A125" s="120"/>
      <c r="B125" s="120"/>
      <c r="C125" s="119">
        <v>24</v>
      </c>
      <c r="D125" s="118" t="s">
        <v>357</v>
      </c>
      <c r="E125" s="118" t="s">
        <v>356</v>
      </c>
      <c r="F125" s="117">
        <v>154269</v>
      </c>
      <c r="G125" s="117"/>
      <c r="H125" s="146">
        <f>F125+G125</f>
        <v>154269</v>
      </c>
      <c r="I125" s="146"/>
      <c r="J125" s="146"/>
      <c r="K125" s="146"/>
      <c r="L125" s="154">
        <f>H125+J125</f>
        <v>154269</v>
      </c>
      <c r="M125" s="154"/>
      <c r="N125" s="154"/>
      <c r="O125" s="146">
        <f t="shared" si="19"/>
        <v>154269</v>
      </c>
      <c r="P125" s="185">
        <f>35000+8000</f>
        <v>43000</v>
      </c>
      <c r="Q125" s="146"/>
      <c r="R125" s="146">
        <f t="shared" si="20"/>
        <v>197269</v>
      </c>
      <c r="S125" s="245">
        <v>197269</v>
      </c>
      <c r="U125" s="245">
        <v>8000</v>
      </c>
      <c r="V125" s="245" t="s">
        <v>577</v>
      </c>
    </row>
    <row r="126" spans="1:19" s="126" customFormat="1" ht="93.75">
      <c r="A126" s="120"/>
      <c r="B126" s="120"/>
      <c r="C126" s="119">
        <v>27</v>
      </c>
      <c r="D126" s="118" t="s">
        <v>355</v>
      </c>
      <c r="E126" s="118" t="s">
        <v>354</v>
      </c>
      <c r="F126" s="117"/>
      <c r="G126" s="117">
        <v>3225000</v>
      </c>
      <c r="H126" s="146">
        <f>F126+G126</f>
        <v>3225000</v>
      </c>
      <c r="I126" s="146"/>
      <c r="J126" s="146">
        <v>170000</v>
      </c>
      <c r="K126" s="146"/>
      <c r="L126" s="154">
        <f>H126+J126</f>
        <v>3395000</v>
      </c>
      <c r="M126" s="154"/>
      <c r="N126" s="154"/>
      <c r="O126" s="146">
        <f t="shared" si="19"/>
        <v>3395000</v>
      </c>
      <c r="P126" s="185"/>
      <c r="Q126" s="146"/>
      <c r="R126" s="146">
        <f t="shared" si="20"/>
        <v>3395000</v>
      </c>
      <c r="S126" s="212"/>
    </row>
    <row r="127" spans="1:19" s="172" customFormat="1" ht="18.75" hidden="1">
      <c r="A127" s="167"/>
      <c r="B127" s="167"/>
      <c r="C127" s="168"/>
      <c r="D127" s="169"/>
      <c r="E127" s="169"/>
      <c r="F127" s="170"/>
      <c r="G127" s="170"/>
      <c r="H127" s="171"/>
      <c r="I127" s="171"/>
      <c r="J127" s="171"/>
      <c r="K127" s="171"/>
      <c r="L127" s="154"/>
      <c r="M127" s="154"/>
      <c r="N127" s="154"/>
      <c r="O127" s="146">
        <f t="shared" si="19"/>
        <v>0</v>
      </c>
      <c r="P127" s="185"/>
      <c r="Q127" s="171"/>
      <c r="R127" s="146">
        <f t="shared" si="20"/>
        <v>0</v>
      </c>
      <c r="S127" s="212"/>
    </row>
    <row r="128" spans="1:19" s="126" customFormat="1" ht="93.75">
      <c r="A128" s="120"/>
      <c r="B128" s="120"/>
      <c r="C128" s="119">
        <v>31</v>
      </c>
      <c r="D128" s="118" t="s">
        <v>353</v>
      </c>
      <c r="E128" s="118" t="s">
        <v>352</v>
      </c>
      <c r="F128" s="117">
        <v>40502</v>
      </c>
      <c r="G128" s="117"/>
      <c r="H128" s="146">
        <f>F128+G128</f>
        <v>40502</v>
      </c>
      <c r="I128" s="146"/>
      <c r="J128" s="146"/>
      <c r="K128" s="146"/>
      <c r="L128" s="154">
        <f>H128+J128</f>
        <v>40502</v>
      </c>
      <c r="M128" s="154"/>
      <c r="N128" s="154"/>
      <c r="O128" s="146">
        <f t="shared" si="19"/>
        <v>40502</v>
      </c>
      <c r="P128" s="185"/>
      <c r="Q128" s="146"/>
      <c r="R128" s="146">
        <f t="shared" si="20"/>
        <v>40502</v>
      </c>
      <c r="S128" s="146">
        <f t="shared" si="20"/>
        <v>40502</v>
      </c>
    </row>
    <row r="129" spans="1:19" s="126" customFormat="1" ht="75">
      <c r="A129" s="187"/>
      <c r="B129" s="187"/>
      <c r="C129" s="188">
        <v>44</v>
      </c>
      <c r="D129" s="189" t="s">
        <v>351</v>
      </c>
      <c r="E129" s="189" t="s">
        <v>350</v>
      </c>
      <c r="F129" s="190">
        <v>291037</v>
      </c>
      <c r="G129" s="190"/>
      <c r="H129" s="185">
        <f>F129+G129</f>
        <v>291037</v>
      </c>
      <c r="I129" s="185"/>
      <c r="J129" s="185"/>
      <c r="K129" s="185">
        <v>-128390</v>
      </c>
      <c r="L129" s="154">
        <f>H129+J129+K129</f>
        <v>162647</v>
      </c>
      <c r="M129" s="154"/>
      <c r="N129" s="154"/>
      <c r="O129" s="146">
        <f t="shared" si="19"/>
        <v>162647</v>
      </c>
      <c r="P129" s="185">
        <f>40114+70000</f>
        <v>110114</v>
      </c>
      <c r="Q129" s="185">
        <v>-2200</v>
      </c>
      <c r="R129" s="146">
        <f t="shared" si="20"/>
        <v>270561</v>
      </c>
      <c r="S129" s="253">
        <v>270561</v>
      </c>
    </row>
    <row r="130" spans="1:19" s="126" customFormat="1" ht="93.75">
      <c r="A130" s="187"/>
      <c r="B130" s="187"/>
      <c r="C130" s="188">
        <v>56</v>
      </c>
      <c r="D130" s="189" t="s">
        <v>555</v>
      </c>
      <c r="E130" s="189" t="s">
        <v>549</v>
      </c>
      <c r="F130" s="190"/>
      <c r="G130" s="190"/>
      <c r="H130" s="185"/>
      <c r="I130" s="185"/>
      <c r="J130" s="185">
        <v>174200</v>
      </c>
      <c r="K130" s="185"/>
      <c r="L130" s="154">
        <f>H130+J130</f>
        <v>174200</v>
      </c>
      <c r="M130" s="154"/>
      <c r="N130" s="154"/>
      <c r="O130" s="146">
        <f t="shared" si="19"/>
        <v>174200</v>
      </c>
      <c r="P130" s="185"/>
      <c r="Q130" s="185"/>
      <c r="R130" s="146">
        <f t="shared" si="20"/>
        <v>174200</v>
      </c>
      <c r="S130" s="212"/>
    </row>
    <row r="131" spans="1:19" s="126" customFormat="1" ht="44.25" customHeight="1">
      <c r="A131" s="67"/>
      <c r="B131" s="67">
        <v>279</v>
      </c>
      <c r="C131" s="67"/>
      <c r="D131" s="65" t="s">
        <v>193</v>
      </c>
      <c r="E131" s="65" t="s">
        <v>192</v>
      </c>
      <c r="F131" s="121">
        <f>SUM(F132:F139)</f>
        <v>821631</v>
      </c>
      <c r="G131" s="121">
        <f>SUM(G132:G139)</f>
        <v>7708119</v>
      </c>
      <c r="H131" s="152">
        <f>SUM(H132:H139)</f>
        <v>8529750</v>
      </c>
      <c r="I131" s="152"/>
      <c r="J131" s="152">
        <f>SUM(J132:J139)</f>
        <v>0</v>
      </c>
      <c r="K131" s="152">
        <f>SUM(K132:K139)</f>
        <v>0</v>
      </c>
      <c r="L131" s="221">
        <f>SUM(L132:L139)</f>
        <v>8529750</v>
      </c>
      <c r="M131" s="221"/>
      <c r="N131" s="220">
        <f>SUM(N132:N139)</f>
        <v>0</v>
      </c>
      <c r="O131" s="206">
        <f>SUM(O132:O139)</f>
        <v>8529750</v>
      </c>
      <c r="P131" s="206">
        <f>SUM(P132:P139)</f>
        <v>234196</v>
      </c>
      <c r="Q131" s="206">
        <f>SUM(Q132:Q139)</f>
        <v>-47010</v>
      </c>
      <c r="R131" s="206">
        <f>SUM(R132:R139)</f>
        <v>8716936</v>
      </c>
      <c r="S131" s="212"/>
    </row>
    <row r="132" spans="1:19" s="126" customFormat="1" ht="56.25">
      <c r="A132" s="120"/>
      <c r="B132" s="120"/>
      <c r="C132" s="119">
        <v>1</v>
      </c>
      <c r="D132" s="118" t="s">
        <v>349</v>
      </c>
      <c r="E132" s="118" t="s">
        <v>348</v>
      </c>
      <c r="F132" s="117">
        <v>34814</v>
      </c>
      <c r="G132" s="117"/>
      <c r="H132" s="146">
        <f aca="true" t="shared" si="21" ref="H132:H139">F132+G132</f>
        <v>34814</v>
      </c>
      <c r="I132" s="146"/>
      <c r="J132" s="146"/>
      <c r="K132" s="146"/>
      <c r="L132" s="222">
        <f aca="true" t="shared" si="22" ref="L132:L139">H132+J132</f>
        <v>34814</v>
      </c>
      <c r="M132" s="222"/>
      <c r="N132" s="154"/>
      <c r="O132" s="146">
        <f aca="true" t="shared" si="23" ref="O132:O139">L132+N132</f>
        <v>34814</v>
      </c>
      <c r="P132" s="204">
        <v>196</v>
      </c>
      <c r="Q132" s="146"/>
      <c r="R132" s="146">
        <f t="shared" si="20"/>
        <v>35010</v>
      </c>
      <c r="S132" s="212"/>
    </row>
    <row r="133" spans="1:19" s="126" customFormat="1" ht="18.75">
      <c r="A133" s="120"/>
      <c r="B133" s="120"/>
      <c r="C133" s="119">
        <v>2</v>
      </c>
      <c r="D133" s="118" t="s">
        <v>318</v>
      </c>
      <c r="E133" s="118" t="s">
        <v>317</v>
      </c>
      <c r="F133" s="117">
        <v>70</v>
      </c>
      <c r="G133" s="117"/>
      <c r="H133" s="146">
        <f t="shared" si="21"/>
        <v>70</v>
      </c>
      <c r="I133" s="146"/>
      <c r="J133" s="146"/>
      <c r="K133" s="146"/>
      <c r="L133" s="154">
        <f t="shared" si="22"/>
        <v>70</v>
      </c>
      <c r="M133" s="154"/>
      <c r="N133" s="154"/>
      <c r="O133" s="146">
        <f t="shared" si="23"/>
        <v>70</v>
      </c>
      <c r="P133" s="146"/>
      <c r="Q133" s="146"/>
      <c r="R133" s="146">
        <f t="shared" si="20"/>
        <v>70</v>
      </c>
      <c r="S133" s="212"/>
    </row>
    <row r="134" spans="1:19" s="126" customFormat="1" ht="18.75">
      <c r="A134" s="120"/>
      <c r="B134" s="120"/>
      <c r="C134" s="119">
        <v>4</v>
      </c>
      <c r="D134" s="118" t="s">
        <v>347</v>
      </c>
      <c r="E134" s="118" t="s">
        <v>346</v>
      </c>
      <c r="F134" s="117"/>
      <c r="G134" s="117">
        <v>500000</v>
      </c>
      <c r="H134" s="146">
        <f t="shared" si="21"/>
        <v>500000</v>
      </c>
      <c r="I134" s="146"/>
      <c r="J134" s="146"/>
      <c r="K134" s="146"/>
      <c r="L134" s="154">
        <f t="shared" si="22"/>
        <v>500000</v>
      </c>
      <c r="M134" s="154"/>
      <c r="N134" s="154"/>
      <c r="O134" s="146">
        <f t="shared" si="23"/>
        <v>500000</v>
      </c>
      <c r="P134" s="146"/>
      <c r="Q134" s="146"/>
      <c r="R134" s="146">
        <f t="shared" si="20"/>
        <v>500000</v>
      </c>
      <c r="S134" s="212"/>
    </row>
    <row r="135" spans="1:19" s="126" customFormat="1" ht="26.25" customHeight="1">
      <c r="A135" s="120"/>
      <c r="B135" s="120"/>
      <c r="C135" s="119">
        <v>5</v>
      </c>
      <c r="D135" s="118" t="s">
        <v>219</v>
      </c>
      <c r="E135" s="118" t="s">
        <v>218</v>
      </c>
      <c r="F135" s="117">
        <v>4197</v>
      </c>
      <c r="G135" s="117"/>
      <c r="H135" s="146">
        <f t="shared" si="21"/>
        <v>4197</v>
      </c>
      <c r="I135" s="146"/>
      <c r="J135" s="146"/>
      <c r="K135" s="146"/>
      <c r="L135" s="154">
        <f t="shared" si="22"/>
        <v>4197</v>
      </c>
      <c r="M135" s="154"/>
      <c r="N135" s="154"/>
      <c r="O135" s="146">
        <f t="shared" si="23"/>
        <v>4197</v>
      </c>
      <c r="P135" s="146"/>
      <c r="Q135" s="146"/>
      <c r="R135" s="146">
        <f t="shared" si="20"/>
        <v>4197</v>
      </c>
      <c r="S135" s="212"/>
    </row>
    <row r="136" spans="1:19" s="126" customFormat="1" ht="75">
      <c r="A136" s="120"/>
      <c r="B136" s="120"/>
      <c r="C136" s="119">
        <v>10</v>
      </c>
      <c r="D136" s="118" t="s">
        <v>345</v>
      </c>
      <c r="E136" s="118" t="s">
        <v>344</v>
      </c>
      <c r="F136" s="117"/>
      <c r="G136" s="117">
        <v>6372151</v>
      </c>
      <c r="H136" s="146">
        <f t="shared" si="21"/>
        <v>6372151</v>
      </c>
      <c r="I136" s="146"/>
      <c r="J136" s="146"/>
      <c r="K136" s="146"/>
      <c r="L136" s="154">
        <f t="shared" si="22"/>
        <v>6372151</v>
      </c>
      <c r="M136" s="154"/>
      <c r="N136" s="154"/>
      <c r="O136" s="146">
        <f t="shared" si="23"/>
        <v>6372151</v>
      </c>
      <c r="P136" s="146"/>
      <c r="Q136" s="146"/>
      <c r="R136" s="146">
        <f t="shared" si="20"/>
        <v>6372151</v>
      </c>
      <c r="S136" s="212"/>
    </row>
    <row r="137" spans="1:19" s="126" customFormat="1" ht="56.25">
      <c r="A137" s="120"/>
      <c r="B137" s="120"/>
      <c r="C137" s="119">
        <v>14</v>
      </c>
      <c r="D137" s="118" t="s">
        <v>343</v>
      </c>
      <c r="E137" s="118" t="s">
        <v>342</v>
      </c>
      <c r="F137" s="117"/>
      <c r="G137" s="117">
        <v>835968</v>
      </c>
      <c r="H137" s="146">
        <f t="shared" si="21"/>
        <v>835968</v>
      </c>
      <c r="I137" s="146"/>
      <c r="J137" s="146"/>
      <c r="K137" s="146"/>
      <c r="L137" s="154">
        <f t="shared" si="22"/>
        <v>835968</v>
      </c>
      <c r="M137" s="154"/>
      <c r="N137" s="154"/>
      <c r="O137" s="146">
        <f t="shared" si="23"/>
        <v>835968</v>
      </c>
      <c r="P137" s="146"/>
      <c r="Q137" s="146"/>
      <c r="R137" s="146">
        <f t="shared" si="20"/>
        <v>835968</v>
      </c>
      <c r="S137" s="212"/>
    </row>
    <row r="138" spans="1:19" s="126" customFormat="1" ht="37.5">
      <c r="A138" s="120"/>
      <c r="B138" s="120"/>
      <c r="C138" s="119">
        <v>113</v>
      </c>
      <c r="D138" s="118" t="s">
        <v>217</v>
      </c>
      <c r="E138" s="118" t="s">
        <v>216</v>
      </c>
      <c r="F138" s="117">
        <v>333000</v>
      </c>
      <c r="G138" s="117"/>
      <c r="H138" s="146">
        <f t="shared" si="21"/>
        <v>333000</v>
      </c>
      <c r="I138" s="146"/>
      <c r="J138" s="146"/>
      <c r="K138" s="146"/>
      <c r="L138" s="154">
        <f t="shared" si="22"/>
        <v>333000</v>
      </c>
      <c r="M138" s="154"/>
      <c r="N138" s="154"/>
      <c r="O138" s="146">
        <f t="shared" si="23"/>
        <v>333000</v>
      </c>
      <c r="P138" s="185">
        <f>25000+10000+10000+16000+5000+30989+19011+70000</f>
        <v>186000</v>
      </c>
      <c r="Q138" s="146"/>
      <c r="R138" s="146">
        <f t="shared" si="20"/>
        <v>519000</v>
      </c>
      <c r="S138" s="245">
        <v>449000</v>
      </c>
    </row>
    <row r="139" spans="1:19" s="126" customFormat="1" ht="39.75" customHeight="1">
      <c r="A139" s="120"/>
      <c r="B139" s="120"/>
      <c r="C139" s="119">
        <v>114</v>
      </c>
      <c r="D139" s="118" t="s">
        <v>341</v>
      </c>
      <c r="E139" s="118" t="s">
        <v>214</v>
      </c>
      <c r="F139" s="117">
        <v>449550</v>
      </c>
      <c r="G139" s="117"/>
      <c r="H139" s="146">
        <f t="shared" si="21"/>
        <v>449550</v>
      </c>
      <c r="I139" s="146"/>
      <c r="J139" s="146"/>
      <c r="K139" s="146"/>
      <c r="L139" s="154">
        <f t="shared" si="22"/>
        <v>449550</v>
      </c>
      <c r="M139" s="154"/>
      <c r="N139" s="154"/>
      <c r="O139" s="146">
        <f t="shared" si="23"/>
        <v>449550</v>
      </c>
      <c r="P139" s="146">
        <f>8000+40000</f>
        <v>48000</v>
      </c>
      <c r="Q139" s="146">
        <f>-21600-410-25000</f>
        <v>-47010</v>
      </c>
      <c r="R139" s="185">
        <f t="shared" si="20"/>
        <v>450540</v>
      </c>
      <c r="S139" s="245">
        <v>410540</v>
      </c>
    </row>
    <row r="140" spans="1:19" s="126" customFormat="1" ht="36" customHeight="1">
      <c r="A140" s="131">
        <v>8</v>
      </c>
      <c r="B140" s="131"/>
      <c r="C140" s="130"/>
      <c r="D140" s="129" t="s">
        <v>340</v>
      </c>
      <c r="E140" s="129" t="s">
        <v>339</v>
      </c>
      <c r="F140" s="128">
        <f>F141+F145+F150+F159+F164+F168</f>
        <v>3405518</v>
      </c>
      <c r="G140" s="128">
        <f>G141+G145+G150+G159+G164+G168</f>
        <v>0</v>
      </c>
      <c r="H140" s="153">
        <f>H141+H145+H150+H159+H164+H168</f>
        <v>3405518</v>
      </c>
      <c r="I140" s="153"/>
      <c r="J140" s="153">
        <f>J141+J145+J150+J159+J164+J168</f>
        <v>246022.7</v>
      </c>
      <c r="K140" s="153">
        <f>K141+K145+K150+K159+K164+K168</f>
        <v>-107282</v>
      </c>
      <c r="L140" s="223">
        <f>L141+L145+L150+L159+L164+L168</f>
        <v>3544258.7</v>
      </c>
      <c r="M140" s="223"/>
      <c r="N140" s="223">
        <f>N141+N145+N150+N159+N164+N168</f>
        <v>0</v>
      </c>
      <c r="O140" s="153">
        <f>O141+O145+O150+O159+O164+O168</f>
        <v>3544258.7</v>
      </c>
      <c r="P140" s="153">
        <f>P141+P145+P150+P159+P164+P168</f>
        <v>147870.2</v>
      </c>
      <c r="Q140" s="153">
        <f>Q141+Q145+Q150+Q159+Q164+Q168</f>
        <v>-406175.2</v>
      </c>
      <c r="R140" s="153">
        <f>R141+R145+R150+R159+R164+R168</f>
        <v>3285953.7</v>
      </c>
      <c r="S140" s="212"/>
    </row>
    <row r="141" spans="1:19" s="126" customFormat="1" ht="18.75">
      <c r="A141" s="67"/>
      <c r="B141" s="67">
        <v>259</v>
      </c>
      <c r="C141" s="67"/>
      <c r="D141" s="65" t="s">
        <v>338</v>
      </c>
      <c r="E141" s="65" t="s">
        <v>337</v>
      </c>
      <c r="F141" s="121">
        <f>SUM(F142:F144)</f>
        <v>159601</v>
      </c>
      <c r="G141" s="121">
        <f>SUM(G142:G144)</f>
        <v>0</v>
      </c>
      <c r="H141" s="152">
        <f>SUM(H142:H144)</f>
        <v>159601</v>
      </c>
      <c r="I141" s="152"/>
      <c r="J141" s="152">
        <f>SUM(J142:J144)</f>
        <v>0</v>
      </c>
      <c r="K141" s="152">
        <f>SUM(K142:K144)</f>
        <v>0</v>
      </c>
      <c r="L141" s="220">
        <f>SUM(L142:L144)</f>
        <v>159601</v>
      </c>
      <c r="M141" s="220"/>
      <c r="N141" s="220">
        <f>SUM(N142:N144)</f>
        <v>0</v>
      </c>
      <c r="O141" s="152">
        <f>SUM(O142:O144)</f>
        <v>159601</v>
      </c>
      <c r="P141" s="152">
        <f>SUM(P142:P144)</f>
        <v>0</v>
      </c>
      <c r="Q141" s="152">
        <f>SUM(Q142:Q144)</f>
        <v>0</v>
      </c>
      <c r="R141" s="152">
        <f>SUM(R142:R144)</f>
        <v>159601</v>
      </c>
      <c r="S141" s="212"/>
    </row>
    <row r="142" spans="1:19" s="126" customFormat="1" ht="37.5">
      <c r="A142" s="120"/>
      <c r="B142" s="120"/>
      <c r="C142" s="119">
        <v>1</v>
      </c>
      <c r="D142" s="118" t="s">
        <v>336</v>
      </c>
      <c r="E142" s="118" t="s">
        <v>335</v>
      </c>
      <c r="F142" s="117">
        <v>18870</v>
      </c>
      <c r="G142" s="117"/>
      <c r="H142" s="146">
        <f>F142+G142</f>
        <v>18870</v>
      </c>
      <c r="I142" s="146"/>
      <c r="J142" s="146"/>
      <c r="K142" s="146"/>
      <c r="L142" s="154">
        <f>H142+J142</f>
        <v>18870</v>
      </c>
      <c r="M142" s="154"/>
      <c r="N142" s="154"/>
      <c r="O142" s="146">
        <f>L142+N142</f>
        <v>18870</v>
      </c>
      <c r="P142" s="146"/>
      <c r="Q142" s="146"/>
      <c r="R142" s="146">
        <f>O142+P142+Q142</f>
        <v>18870</v>
      </c>
      <c r="S142" s="212"/>
    </row>
    <row r="143" spans="1:19" s="126" customFormat="1" ht="21.75" customHeight="1">
      <c r="A143" s="120"/>
      <c r="B143" s="120"/>
      <c r="C143" s="119">
        <v>2</v>
      </c>
      <c r="D143" s="118" t="s">
        <v>334</v>
      </c>
      <c r="E143" s="118" t="s">
        <v>333</v>
      </c>
      <c r="F143" s="117">
        <v>137923</v>
      </c>
      <c r="G143" s="117"/>
      <c r="H143" s="146">
        <f>F143+G143</f>
        <v>137923</v>
      </c>
      <c r="I143" s="146"/>
      <c r="J143" s="146"/>
      <c r="K143" s="146"/>
      <c r="L143" s="154">
        <f>H143+J143</f>
        <v>137923</v>
      </c>
      <c r="M143" s="154"/>
      <c r="N143" s="154"/>
      <c r="O143" s="146">
        <f>L143+N143</f>
        <v>137923</v>
      </c>
      <c r="P143" s="146"/>
      <c r="Q143" s="146"/>
      <c r="R143" s="146">
        <f>O143+P143+Q143</f>
        <v>137923</v>
      </c>
      <c r="S143" s="212"/>
    </row>
    <row r="144" spans="1:19" s="126" customFormat="1" ht="21.75" customHeight="1">
      <c r="A144" s="120"/>
      <c r="B144" s="120"/>
      <c r="C144" s="119">
        <v>5</v>
      </c>
      <c r="D144" s="118" t="s">
        <v>219</v>
      </c>
      <c r="E144" s="118" t="s">
        <v>218</v>
      </c>
      <c r="F144" s="117">
        <v>2808</v>
      </c>
      <c r="G144" s="117"/>
      <c r="H144" s="146">
        <f>F144+G144</f>
        <v>2808</v>
      </c>
      <c r="I144" s="146"/>
      <c r="J144" s="146"/>
      <c r="K144" s="146"/>
      <c r="L144" s="154">
        <f>H144+J144</f>
        <v>2808</v>
      </c>
      <c r="M144" s="154"/>
      <c r="N144" s="154"/>
      <c r="O144" s="146">
        <f>L144+N144</f>
        <v>2808</v>
      </c>
      <c r="P144" s="146"/>
      <c r="Q144" s="146"/>
      <c r="R144" s="146">
        <f>O144+P144+Q144</f>
        <v>2808</v>
      </c>
      <c r="S144" s="212"/>
    </row>
    <row r="145" spans="1:19" s="126" customFormat="1" ht="37.5">
      <c r="A145" s="67"/>
      <c r="B145" s="67">
        <v>260</v>
      </c>
      <c r="C145" s="67"/>
      <c r="D145" s="65" t="s">
        <v>332</v>
      </c>
      <c r="E145" s="65" t="s">
        <v>331</v>
      </c>
      <c r="F145" s="121">
        <f>SUM(F146:F149)</f>
        <v>1013971</v>
      </c>
      <c r="G145" s="121">
        <f>SUM(G146:G149)</f>
        <v>0</v>
      </c>
      <c r="H145" s="152">
        <f>SUM(H146:H149)</f>
        <v>1013971</v>
      </c>
      <c r="I145" s="152"/>
      <c r="J145" s="152">
        <f>SUM(J146:J149)</f>
        <v>0</v>
      </c>
      <c r="K145" s="152">
        <f>SUM(K146:K149)</f>
        <v>0</v>
      </c>
      <c r="L145" s="220">
        <f>SUM(L146:L149)</f>
        <v>1013971</v>
      </c>
      <c r="M145" s="220"/>
      <c r="N145" s="220">
        <f>SUM(N146:N149)</f>
        <v>0</v>
      </c>
      <c r="O145" s="152">
        <f>SUM(O146:O149)</f>
        <v>1013971</v>
      </c>
      <c r="P145" s="152">
        <f>SUM(P146:P149)</f>
        <v>3712</v>
      </c>
      <c r="Q145" s="152">
        <f>SUM(Q146:Q149)</f>
        <v>0</v>
      </c>
      <c r="R145" s="152">
        <f>SUM(R146:R149)</f>
        <v>1017683</v>
      </c>
      <c r="S145" s="212"/>
    </row>
    <row r="146" spans="1:19" s="126" customFormat="1" ht="56.25">
      <c r="A146" s="120"/>
      <c r="B146" s="120"/>
      <c r="C146" s="119">
        <v>1</v>
      </c>
      <c r="D146" s="118" t="s">
        <v>330</v>
      </c>
      <c r="E146" s="118" t="s">
        <v>329</v>
      </c>
      <c r="F146" s="117">
        <v>42569</v>
      </c>
      <c r="G146" s="117"/>
      <c r="H146" s="146">
        <f>F146+G146</f>
        <v>42569</v>
      </c>
      <c r="I146" s="146"/>
      <c r="J146" s="146"/>
      <c r="K146" s="146"/>
      <c r="L146" s="154">
        <f>H146+J146</f>
        <v>42569</v>
      </c>
      <c r="M146" s="154"/>
      <c r="N146" s="154"/>
      <c r="O146" s="146">
        <f>L146+N146</f>
        <v>42569</v>
      </c>
      <c r="P146" s="146"/>
      <c r="Q146" s="146"/>
      <c r="R146" s="146">
        <f>O146+P146+Q146</f>
        <v>42569</v>
      </c>
      <c r="S146" s="212"/>
    </row>
    <row r="147" spans="1:19" s="126" customFormat="1" ht="36" customHeight="1">
      <c r="A147" s="120"/>
      <c r="B147" s="120"/>
      <c r="C147" s="119">
        <v>3</v>
      </c>
      <c r="D147" s="118" t="s">
        <v>328</v>
      </c>
      <c r="E147" s="118" t="s">
        <v>327</v>
      </c>
      <c r="F147" s="117">
        <v>26670</v>
      </c>
      <c r="G147" s="117"/>
      <c r="H147" s="146">
        <f>F147+G147</f>
        <v>26670</v>
      </c>
      <c r="I147" s="146"/>
      <c r="J147" s="146"/>
      <c r="K147" s="146"/>
      <c r="L147" s="222">
        <f>H147+J147</f>
        <v>26670</v>
      </c>
      <c r="M147" s="222"/>
      <c r="N147" s="154"/>
      <c r="O147" s="146">
        <f>L147+N147</f>
        <v>26670</v>
      </c>
      <c r="P147" s="205">
        <v>2940</v>
      </c>
      <c r="Q147" s="146"/>
      <c r="R147" s="146">
        <f>O147+P147+Q147</f>
        <v>29610</v>
      </c>
      <c r="S147" s="212"/>
    </row>
    <row r="148" spans="1:19" s="126" customFormat="1" ht="75">
      <c r="A148" s="120"/>
      <c r="B148" s="120"/>
      <c r="C148" s="119">
        <v>4</v>
      </c>
      <c r="D148" s="118" t="s">
        <v>326</v>
      </c>
      <c r="E148" s="118" t="s">
        <v>325</v>
      </c>
      <c r="F148" s="117">
        <v>926012</v>
      </c>
      <c r="G148" s="117"/>
      <c r="H148" s="146">
        <f>F148+G148</f>
        <v>926012</v>
      </c>
      <c r="I148" s="146"/>
      <c r="J148" s="146"/>
      <c r="K148" s="146"/>
      <c r="L148" s="222">
        <f>H148+J148</f>
        <v>926012</v>
      </c>
      <c r="M148" s="222"/>
      <c r="N148" s="154"/>
      <c r="O148" s="146">
        <f>L148+N148</f>
        <v>926012</v>
      </c>
      <c r="P148" s="205">
        <v>772</v>
      </c>
      <c r="Q148" s="146"/>
      <c r="R148" s="146">
        <f>O148+P148+Q148</f>
        <v>926784</v>
      </c>
      <c r="S148" s="212"/>
    </row>
    <row r="149" spans="1:19" s="126" customFormat="1" ht="31.5" customHeight="1">
      <c r="A149" s="120"/>
      <c r="B149" s="120"/>
      <c r="C149" s="119">
        <v>13</v>
      </c>
      <c r="D149" s="118" t="s">
        <v>324</v>
      </c>
      <c r="E149" s="118" t="s">
        <v>323</v>
      </c>
      <c r="F149" s="117">
        <v>18720</v>
      </c>
      <c r="G149" s="117"/>
      <c r="H149" s="146">
        <f>F149+G149</f>
        <v>18720</v>
      </c>
      <c r="I149" s="146"/>
      <c r="J149" s="146"/>
      <c r="K149" s="146"/>
      <c r="L149" s="154">
        <f>H149+J149</f>
        <v>18720</v>
      </c>
      <c r="M149" s="154"/>
      <c r="N149" s="154"/>
      <c r="O149" s="146">
        <f>L149+N149</f>
        <v>18720</v>
      </c>
      <c r="P149" s="146"/>
      <c r="Q149" s="146"/>
      <c r="R149" s="146">
        <f>O149+P149+Q149</f>
        <v>18720</v>
      </c>
      <c r="S149" s="212"/>
    </row>
    <row r="150" spans="1:19" s="126" customFormat="1" ht="18.75">
      <c r="A150" s="67"/>
      <c r="B150" s="67">
        <v>262</v>
      </c>
      <c r="C150" s="67"/>
      <c r="D150" s="65" t="s">
        <v>322</v>
      </c>
      <c r="E150" s="65" t="s">
        <v>321</v>
      </c>
      <c r="F150" s="121">
        <f>SUM(F151:F158)</f>
        <v>850064</v>
      </c>
      <c r="G150" s="121">
        <f>SUM(G151:G158)</f>
        <v>0</v>
      </c>
      <c r="H150" s="152">
        <f>SUM(H151:H158)</f>
        <v>850064</v>
      </c>
      <c r="I150" s="152"/>
      <c r="J150" s="152">
        <f>SUM(J151:J158)</f>
        <v>107282</v>
      </c>
      <c r="K150" s="152">
        <f>SUM(K151:K158)</f>
        <v>0</v>
      </c>
      <c r="L150" s="220">
        <f>SUM(L151:L158)</f>
        <v>957346</v>
      </c>
      <c r="M150" s="220"/>
      <c r="N150" s="220">
        <f>SUM(N151:N158)</f>
        <v>0</v>
      </c>
      <c r="O150" s="152">
        <f>SUM(O151:O158)</f>
        <v>957346</v>
      </c>
      <c r="P150" s="152">
        <f>SUM(P151:P158)</f>
        <v>13766</v>
      </c>
      <c r="Q150" s="152">
        <f>SUM(Q151:Q158)</f>
        <v>-2400</v>
      </c>
      <c r="R150" s="152">
        <f>SUM(R151:R158)</f>
        <v>968712</v>
      </c>
      <c r="S150" s="212"/>
    </row>
    <row r="151" spans="1:19" s="126" customFormat="1" ht="37.5">
      <c r="A151" s="120"/>
      <c r="B151" s="120"/>
      <c r="C151" s="119">
        <v>1</v>
      </c>
      <c r="D151" s="118" t="s">
        <v>320</v>
      </c>
      <c r="E151" s="118" t="s">
        <v>319</v>
      </c>
      <c r="F151" s="117">
        <v>37264</v>
      </c>
      <c r="G151" s="117"/>
      <c r="H151" s="146">
        <f aca="true" t="shared" si="24" ref="H151:H158">F151+G151</f>
        <v>37264</v>
      </c>
      <c r="I151" s="146"/>
      <c r="J151" s="146"/>
      <c r="K151" s="146"/>
      <c r="L151" s="154">
        <f aca="true" t="shared" si="25" ref="L151:L158">H151+J151</f>
        <v>37264</v>
      </c>
      <c r="M151" s="154"/>
      <c r="N151" s="154"/>
      <c r="O151" s="146">
        <f aca="true" t="shared" si="26" ref="O151:O158">L151+N151</f>
        <v>37264</v>
      </c>
      <c r="P151" s="146"/>
      <c r="Q151" s="146"/>
      <c r="R151" s="146">
        <f aca="true" t="shared" si="27" ref="R151:R158">O151+P151+Q151</f>
        <v>37264</v>
      </c>
      <c r="S151" s="212"/>
    </row>
    <row r="152" spans="1:19" s="126" customFormat="1" ht="24.75" customHeight="1">
      <c r="A152" s="120"/>
      <c r="B152" s="120"/>
      <c r="C152" s="119">
        <v>2</v>
      </c>
      <c r="D152" s="118" t="s">
        <v>318</v>
      </c>
      <c r="E152" s="118" t="s">
        <v>317</v>
      </c>
      <c r="F152" s="117">
        <v>123</v>
      </c>
      <c r="G152" s="117"/>
      <c r="H152" s="146">
        <f t="shared" si="24"/>
        <v>123</v>
      </c>
      <c r="I152" s="146"/>
      <c r="J152" s="146"/>
      <c r="K152" s="146"/>
      <c r="L152" s="154">
        <f t="shared" si="25"/>
        <v>123</v>
      </c>
      <c r="M152" s="154"/>
      <c r="N152" s="154"/>
      <c r="O152" s="146">
        <f t="shared" si="26"/>
        <v>123</v>
      </c>
      <c r="P152" s="146"/>
      <c r="Q152" s="146"/>
      <c r="R152" s="146">
        <f t="shared" si="27"/>
        <v>123</v>
      </c>
      <c r="S152" s="212"/>
    </row>
    <row r="153" spans="1:19" s="126" customFormat="1" ht="24.75" customHeight="1">
      <c r="A153" s="120"/>
      <c r="B153" s="120"/>
      <c r="C153" s="119">
        <v>3</v>
      </c>
      <c r="D153" s="118" t="s">
        <v>316</v>
      </c>
      <c r="E153" s="118" t="s">
        <v>315</v>
      </c>
      <c r="F153" s="117">
        <v>189910</v>
      </c>
      <c r="G153" s="117"/>
      <c r="H153" s="146">
        <f t="shared" si="24"/>
        <v>189910</v>
      </c>
      <c r="I153" s="146"/>
      <c r="J153" s="146"/>
      <c r="K153" s="146"/>
      <c r="L153" s="154">
        <f t="shared" si="25"/>
        <v>189910</v>
      </c>
      <c r="M153" s="154"/>
      <c r="N153" s="154"/>
      <c r="O153" s="146">
        <f t="shared" si="26"/>
        <v>189910</v>
      </c>
      <c r="P153" s="185">
        <f>11366+2400</f>
        <v>13766</v>
      </c>
      <c r="Q153" s="146"/>
      <c r="R153" s="146">
        <f t="shared" si="27"/>
        <v>203676</v>
      </c>
      <c r="S153" s="212"/>
    </row>
    <row r="154" spans="1:19" s="126" customFormat="1" ht="37.5">
      <c r="A154" s="120"/>
      <c r="B154" s="120"/>
      <c r="C154" s="119">
        <v>5</v>
      </c>
      <c r="D154" s="118" t="s">
        <v>314</v>
      </c>
      <c r="E154" s="118" t="s">
        <v>313</v>
      </c>
      <c r="F154" s="117">
        <f>234897-107282</f>
        <v>127615</v>
      </c>
      <c r="G154" s="117"/>
      <c r="H154" s="154">
        <f t="shared" si="24"/>
        <v>127615</v>
      </c>
      <c r="I154" s="154"/>
      <c r="J154" s="194">
        <v>107282</v>
      </c>
      <c r="K154" s="154"/>
      <c r="L154" s="154">
        <f t="shared" si="25"/>
        <v>234897</v>
      </c>
      <c r="M154" s="154"/>
      <c r="N154" s="154"/>
      <c r="O154" s="146">
        <f t="shared" si="26"/>
        <v>234897</v>
      </c>
      <c r="P154" s="146"/>
      <c r="Q154" s="185"/>
      <c r="R154" s="146">
        <f t="shared" si="27"/>
        <v>234897</v>
      </c>
      <c r="S154" s="212"/>
    </row>
    <row r="155" spans="1:19" s="126" customFormat="1" ht="22.5" customHeight="1">
      <c r="A155" s="120"/>
      <c r="B155" s="120"/>
      <c r="C155" s="119">
        <v>7</v>
      </c>
      <c r="D155" s="118" t="s">
        <v>312</v>
      </c>
      <c r="E155" s="118" t="s">
        <v>311</v>
      </c>
      <c r="F155" s="117">
        <v>341927</v>
      </c>
      <c r="G155" s="117"/>
      <c r="H155" s="146">
        <f t="shared" si="24"/>
        <v>341927</v>
      </c>
      <c r="I155" s="146"/>
      <c r="J155" s="146"/>
      <c r="K155" s="146"/>
      <c r="L155" s="154">
        <f t="shared" si="25"/>
        <v>341927</v>
      </c>
      <c r="M155" s="154"/>
      <c r="N155" s="154"/>
      <c r="O155" s="146">
        <f t="shared" si="26"/>
        <v>341927</v>
      </c>
      <c r="P155" s="146"/>
      <c r="Q155" s="146">
        <f>-2400</f>
        <v>-2400</v>
      </c>
      <c r="R155" s="146">
        <f t="shared" si="27"/>
        <v>339527</v>
      </c>
      <c r="S155" s="212"/>
    </row>
    <row r="156" spans="1:19" s="126" customFormat="1" ht="34.5" customHeight="1">
      <c r="A156" s="120"/>
      <c r="B156" s="120"/>
      <c r="C156" s="119">
        <v>8</v>
      </c>
      <c r="D156" s="118" t="s">
        <v>310</v>
      </c>
      <c r="E156" s="118" t="s">
        <v>309</v>
      </c>
      <c r="F156" s="117">
        <v>79186</v>
      </c>
      <c r="G156" s="117"/>
      <c r="H156" s="146">
        <f t="shared" si="24"/>
        <v>79186</v>
      </c>
      <c r="I156" s="146"/>
      <c r="J156" s="146"/>
      <c r="K156" s="146"/>
      <c r="L156" s="154">
        <f t="shared" si="25"/>
        <v>79186</v>
      </c>
      <c r="M156" s="154"/>
      <c r="N156" s="154"/>
      <c r="O156" s="146">
        <f t="shared" si="26"/>
        <v>79186</v>
      </c>
      <c r="P156" s="146"/>
      <c r="Q156" s="146"/>
      <c r="R156" s="146">
        <f t="shared" si="27"/>
        <v>79186</v>
      </c>
      <c r="S156" s="212"/>
    </row>
    <row r="157" spans="1:19" s="126" customFormat="1" ht="18.75">
      <c r="A157" s="120"/>
      <c r="B157" s="120"/>
      <c r="C157" s="119">
        <v>11</v>
      </c>
      <c r="D157" s="118" t="s">
        <v>219</v>
      </c>
      <c r="E157" s="118" t="s">
        <v>218</v>
      </c>
      <c r="F157" s="117">
        <v>744</v>
      </c>
      <c r="G157" s="117"/>
      <c r="H157" s="146">
        <f t="shared" si="24"/>
        <v>744</v>
      </c>
      <c r="I157" s="146"/>
      <c r="J157" s="146"/>
      <c r="K157" s="146"/>
      <c r="L157" s="154">
        <f t="shared" si="25"/>
        <v>744</v>
      </c>
      <c r="M157" s="154"/>
      <c r="N157" s="154"/>
      <c r="O157" s="146">
        <f t="shared" si="26"/>
        <v>744</v>
      </c>
      <c r="P157" s="146"/>
      <c r="Q157" s="146"/>
      <c r="R157" s="146">
        <f t="shared" si="27"/>
        <v>744</v>
      </c>
      <c r="S157" s="212"/>
    </row>
    <row r="158" spans="1:19" s="126" customFormat="1" ht="37.5">
      <c r="A158" s="120"/>
      <c r="B158" s="120"/>
      <c r="C158" s="119">
        <v>113</v>
      </c>
      <c r="D158" s="118" t="s">
        <v>308</v>
      </c>
      <c r="E158" s="118" t="s">
        <v>216</v>
      </c>
      <c r="F158" s="117">
        <v>73295</v>
      </c>
      <c r="G158" s="117"/>
      <c r="H158" s="146">
        <f t="shared" si="24"/>
        <v>73295</v>
      </c>
      <c r="I158" s="146"/>
      <c r="J158" s="146"/>
      <c r="K158" s="146"/>
      <c r="L158" s="154">
        <f t="shared" si="25"/>
        <v>73295</v>
      </c>
      <c r="M158" s="154"/>
      <c r="N158" s="154"/>
      <c r="O158" s="146">
        <f t="shared" si="26"/>
        <v>73295</v>
      </c>
      <c r="P158" s="146"/>
      <c r="Q158" s="146"/>
      <c r="R158" s="146">
        <f t="shared" si="27"/>
        <v>73295</v>
      </c>
      <c r="S158" s="253"/>
    </row>
    <row r="159" spans="1:19" s="126" customFormat="1" ht="18.75">
      <c r="A159" s="67"/>
      <c r="B159" s="67">
        <v>263</v>
      </c>
      <c r="C159" s="67"/>
      <c r="D159" s="65" t="s">
        <v>307</v>
      </c>
      <c r="E159" s="65" t="s">
        <v>306</v>
      </c>
      <c r="F159" s="121">
        <f>SUM(F160:F163)</f>
        <v>425932</v>
      </c>
      <c r="G159" s="121">
        <f>SUM(G160:G163)</f>
        <v>0</v>
      </c>
      <c r="H159" s="152">
        <f>SUM(H160:H163)</f>
        <v>425932</v>
      </c>
      <c r="I159" s="152"/>
      <c r="J159" s="152">
        <f>SUM(J160:J163)</f>
        <v>0</v>
      </c>
      <c r="K159" s="152">
        <f>SUM(K160:K163)</f>
        <v>0</v>
      </c>
      <c r="L159" s="220">
        <f>SUM(L160:L163)</f>
        <v>425932</v>
      </c>
      <c r="M159" s="220"/>
      <c r="N159" s="220">
        <f>SUM(N160:N163)</f>
        <v>0</v>
      </c>
      <c r="O159" s="152">
        <f>SUM(O160:O163)</f>
        <v>425932</v>
      </c>
      <c r="P159" s="152">
        <f>SUM(P160:P163)</f>
        <v>1343</v>
      </c>
      <c r="Q159" s="152">
        <f>SUM(Q160:Q163)</f>
        <v>0</v>
      </c>
      <c r="R159" s="152">
        <f>SUM(R160:R163)</f>
        <v>427275</v>
      </c>
      <c r="S159" s="212"/>
    </row>
    <row r="160" spans="1:19" s="126" customFormat="1" ht="37.5">
      <c r="A160" s="120"/>
      <c r="B160" s="120"/>
      <c r="C160" s="119">
        <v>1</v>
      </c>
      <c r="D160" s="118" t="s">
        <v>305</v>
      </c>
      <c r="E160" s="118" t="s">
        <v>304</v>
      </c>
      <c r="F160" s="117">
        <v>114049</v>
      </c>
      <c r="G160" s="117"/>
      <c r="H160" s="146">
        <f>F160+G160</f>
        <v>114049</v>
      </c>
      <c r="I160" s="146"/>
      <c r="J160" s="146"/>
      <c r="K160" s="146"/>
      <c r="L160" s="154">
        <f>H160+J160</f>
        <v>114049</v>
      </c>
      <c r="M160" s="154"/>
      <c r="N160" s="154"/>
      <c r="O160" s="146">
        <f>L160+N160</f>
        <v>114049</v>
      </c>
      <c r="P160" s="146"/>
      <c r="Q160" s="146"/>
      <c r="R160" s="146">
        <f>O160+P160+Q160</f>
        <v>114049</v>
      </c>
      <c r="S160" s="212"/>
    </row>
    <row r="161" spans="1:19" s="126" customFormat="1" ht="37.5">
      <c r="A161" s="120"/>
      <c r="B161" s="120"/>
      <c r="C161" s="119">
        <v>3</v>
      </c>
      <c r="D161" s="118" t="s">
        <v>303</v>
      </c>
      <c r="E161" s="118" t="s">
        <v>302</v>
      </c>
      <c r="F161" s="117">
        <v>20116</v>
      </c>
      <c r="G161" s="117"/>
      <c r="H161" s="146">
        <f>F161+G161</f>
        <v>20116</v>
      </c>
      <c r="I161" s="146"/>
      <c r="J161" s="146"/>
      <c r="K161" s="146"/>
      <c r="L161" s="154">
        <f>H161+J161</f>
        <v>20116</v>
      </c>
      <c r="M161" s="154"/>
      <c r="N161" s="154"/>
      <c r="O161" s="146">
        <f>L161+N161</f>
        <v>20116</v>
      </c>
      <c r="P161" s="146"/>
      <c r="Q161" s="146"/>
      <c r="R161" s="146">
        <f>O161+P161+Q161</f>
        <v>20116</v>
      </c>
      <c r="S161" s="212"/>
    </row>
    <row r="162" spans="1:19" s="126" customFormat="1" ht="24" customHeight="1">
      <c r="A162" s="120"/>
      <c r="B162" s="120"/>
      <c r="C162" s="119">
        <v>5</v>
      </c>
      <c r="D162" s="118" t="s">
        <v>219</v>
      </c>
      <c r="E162" s="118" t="s">
        <v>218</v>
      </c>
      <c r="F162" s="117">
        <v>2250</v>
      </c>
      <c r="G162" s="117"/>
      <c r="H162" s="146">
        <f>F162+G162</f>
        <v>2250</v>
      </c>
      <c r="I162" s="146"/>
      <c r="J162" s="146"/>
      <c r="K162" s="146"/>
      <c r="L162" s="154">
        <f>H162+J162</f>
        <v>2250</v>
      </c>
      <c r="M162" s="154"/>
      <c r="N162" s="154"/>
      <c r="O162" s="146">
        <f>L162+N162</f>
        <v>2250</v>
      </c>
      <c r="P162" s="146"/>
      <c r="Q162" s="146"/>
      <c r="R162" s="146">
        <f>O162+P162+Q162</f>
        <v>2250</v>
      </c>
      <c r="S162" s="212"/>
    </row>
    <row r="163" spans="1:19" s="126" customFormat="1" ht="37.5">
      <c r="A163" s="120"/>
      <c r="B163" s="120"/>
      <c r="C163" s="119">
        <v>7</v>
      </c>
      <c r="D163" s="118" t="s">
        <v>301</v>
      </c>
      <c r="E163" s="118" t="s">
        <v>300</v>
      </c>
      <c r="F163" s="117">
        <v>289517</v>
      </c>
      <c r="G163" s="117"/>
      <c r="H163" s="146">
        <f>F163+G163</f>
        <v>289517</v>
      </c>
      <c r="I163" s="146"/>
      <c r="J163" s="146"/>
      <c r="K163" s="146"/>
      <c r="L163" s="154">
        <f>H163+J163</f>
        <v>289517</v>
      </c>
      <c r="M163" s="154"/>
      <c r="N163" s="154"/>
      <c r="O163" s="146">
        <f>L163+N163</f>
        <v>289517</v>
      </c>
      <c r="P163" s="185">
        <f>767+576</f>
        <v>1343</v>
      </c>
      <c r="Q163" s="146"/>
      <c r="R163" s="146">
        <f>O163+P163+Q163</f>
        <v>290860</v>
      </c>
      <c r="S163" s="212"/>
    </row>
    <row r="164" spans="1:19" s="126" customFormat="1" ht="18.75">
      <c r="A164" s="67"/>
      <c r="B164" s="67">
        <v>264</v>
      </c>
      <c r="C164" s="67"/>
      <c r="D164" s="65" t="s">
        <v>299</v>
      </c>
      <c r="E164" s="65" t="s">
        <v>298</v>
      </c>
      <c r="F164" s="121">
        <f>SUM(F165:F167)</f>
        <v>60575</v>
      </c>
      <c r="G164" s="121">
        <f>SUM(G165:G167)</f>
        <v>0</v>
      </c>
      <c r="H164" s="152">
        <f>SUM(H165:H167)</f>
        <v>60575</v>
      </c>
      <c r="I164" s="152"/>
      <c r="J164" s="152">
        <f>SUM(J165:J167)</f>
        <v>0</v>
      </c>
      <c r="K164" s="152">
        <f>SUM(K165:K167)</f>
        <v>0</v>
      </c>
      <c r="L164" s="220">
        <f>SUM(L165:L167)</f>
        <v>60575</v>
      </c>
      <c r="M164" s="220"/>
      <c r="N164" s="220">
        <f>SUM(N165:N167)</f>
        <v>0</v>
      </c>
      <c r="O164" s="152">
        <f>SUM(O165:O167)</f>
        <v>60575</v>
      </c>
      <c r="P164" s="152">
        <f>SUM(P165:P167)</f>
        <v>2869.2</v>
      </c>
      <c r="Q164" s="152">
        <f>SUM(Q165:Q167)</f>
        <v>-284.2</v>
      </c>
      <c r="R164" s="152">
        <f>SUM(R165:R167)</f>
        <v>63160</v>
      </c>
      <c r="S164" s="212"/>
    </row>
    <row r="165" spans="1:19" s="126" customFormat="1" ht="37.5">
      <c r="A165" s="120"/>
      <c r="B165" s="120"/>
      <c r="C165" s="119">
        <v>1</v>
      </c>
      <c r="D165" s="118" t="s">
        <v>297</v>
      </c>
      <c r="E165" s="118" t="s">
        <v>296</v>
      </c>
      <c r="F165" s="117">
        <v>28459</v>
      </c>
      <c r="G165" s="117"/>
      <c r="H165" s="146">
        <f>F165+G165</f>
        <v>28459</v>
      </c>
      <c r="I165" s="146"/>
      <c r="J165" s="146"/>
      <c r="K165" s="146"/>
      <c r="L165" s="154">
        <f>H165+J165</f>
        <v>28459</v>
      </c>
      <c r="M165" s="154"/>
      <c r="N165" s="154"/>
      <c r="O165" s="146">
        <f>L165+N165</f>
        <v>28459</v>
      </c>
      <c r="P165" s="146">
        <v>284.2</v>
      </c>
      <c r="Q165" s="146"/>
      <c r="R165" s="146">
        <f>O165+P165+Q165</f>
        <v>28743.2</v>
      </c>
      <c r="S165" s="212"/>
    </row>
    <row r="166" spans="1:19" s="126" customFormat="1" ht="37.5" customHeight="1">
      <c r="A166" s="120"/>
      <c r="B166" s="120"/>
      <c r="C166" s="119">
        <v>2</v>
      </c>
      <c r="D166" s="118" t="s">
        <v>295</v>
      </c>
      <c r="E166" s="118" t="s">
        <v>294</v>
      </c>
      <c r="F166" s="117">
        <v>28291</v>
      </c>
      <c r="G166" s="117"/>
      <c r="H166" s="146">
        <f>F166+G166</f>
        <v>28291</v>
      </c>
      <c r="I166" s="146"/>
      <c r="J166" s="146"/>
      <c r="K166" s="146"/>
      <c r="L166" s="154">
        <f>H166+J166</f>
        <v>28291</v>
      </c>
      <c r="M166" s="154"/>
      <c r="N166" s="154"/>
      <c r="O166" s="146">
        <f>L166+N166</f>
        <v>28291</v>
      </c>
      <c r="P166" s="146">
        <v>2585</v>
      </c>
      <c r="Q166" s="146">
        <f>-114.2</f>
        <v>-114.2</v>
      </c>
      <c r="R166" s="146">
        <f>O166+P166+Q166</f>
        <v>30761.8</v>
      </c>
      <c r="S166" s="212"/>
    </row>
    <row r="167" spans="1:19" s="126" customFormat="1" ht="18.75">
      <c r="A167" s="120"/>
      <c r="B167" s="120"/>
      <c r="C167" s="119">
        <v>3</v>
      </c>
      <c r="D167" s="118" t="s">
        <v>219</v>
      </c>
      <c r="E167" s="118" t="s">
        <v>218</v>
      </c>
      <c r="F167" s="117">
        <v>3825</v>
      </c>
      <c r="G167" s="117"/>
      <c r="H167" s="146">
        <f>F167+G167</f>
        <v>3825</v>
      </c>
      <c r="I167" s="146"/>
      <c r="J167" s="146"/>
      <c r="K167" s="146"/>
      <c r="L167" s="222">
        <f>H167+J167</f>
        <v>3825</v>
      </c>
      <c r="M167" s="222"/>
      <c r="N167" s="154"/>
      <c r="O167" s="146">
        <f>L167+N167</f>
        <v>3825</v>
      </c>
      <c r="P167" s="204"/>
      <c r="Q167" s="146">
        <f>-170</f>
        <v>-170</v>
      </c>
      <c r="R167" s="146">
        <f>O167+P167+Q167</f>
        <v>3655</v>
      </c>
      <c r="S167" s="212"/>
    </row>
    <row r="168" spans="1:19" s="126" customFormat="1" ht="24" customHeight="1">
      <c r="A168" s="67"/>
      <c r="B168" s="67">
        <v>271</v>
      </c>
      <c r="C168" s="67"/>
      <c r="D168" s="65" t="s">
        <v>179</v>
      </c>
      <c r="E168" s="65" t="s">
        <v>178</v>
      </c>
      <c r="F168" s="121">
        <f>SUM(F169:F170)</f>
        <v>895375</v>
      </c>
      <c r="G168" s="121">
        <f>SUM(G169:G170)</f>
        <v>0</v>
      </c>
      <c r="H168" s="152">
        <f>SUM(H169:H171)</f>
        <v>895375</v>
      </c>
      <c r="I168" s="152"/>
      <c r="J168" s="152">
        <f>SUM(J169:J171)</f>
        <v>138740.7</v>
      </c>
      <c r="K168" s="152">
        <f>SUM(K169:K171)</f>
        <v>-107282</v>
      </c>
      <c r="L168" s="221">
        <f>SUM(L169:L171)</f>
        <v>926833.7</v>
      </c>
      <c r="M168" s="221"/>
      <c r="N168" s="220">
        <f>SUM(N169:N171)</f>
        <v>0</v>
      </c>
      <c r="O168" s="206">
        <f>SUM(O169:O171)</f>
        <v>926833.7</v>
      </c>
      <c r="P168" s="206">
        <f>SUM(P169:P171)</f>
        <v>126180</v>
      </c>
      <c r="Q168" s="206">
        <f>SUM(Q169:Q171)</f>
        <v>-403491</v>
      </c>
      <c r="R168" s="206">
        <f>SUM(R169:R171)</f>
        <v>649522.7</v>
      </c>
      <c r="S168" s="212"/>
    </row>
    <row r="169" spans="1:19" s="126" customFormat="1" ht="20.25" customHeight="1">
      <c r="A169" s="120"/>
      <c r="B169" s="120"/>
      <c r="C169" s="119">
        <v>16</v>
      </c>
      <c r="D169" s="118" t="s">
        <v>293</v>
      </c>
      <c r="E169" s="118" t="s">
        <v>292</v>
      </c>
      <c r="F169" s="117">
        <f>186002+107282</f>
        <v>293284</v>
      </c>
      <c r="G169" s="117"/>
      <c r="H169" s="154">
        <f>F169+G169</f>
        <v>293284</v>
      </c>
      <c r="I169" s="154"/>
      <c r="J169" s="154">
        <v>10350.7</v>
      </c>
      <c r="K169" s="194">
        <v>-107282</v>
      </c>
      <c r="L169" s="154">
        <f>H169+J169+K169</f>
        <v>196352.7</v>
      </c>
      <c r="M169" s="154"/>
      <c r="N169" s="154"/>
      <c r="O169" s="146">
        <f>L169+N169</f>
        <v>196352.7</v>
      </c>
      <c r="P169" s="185">
        <f>120000+240</f>
        <v>120240</v>
      </c>
      <c r="Q169" s="185"/>
      <c r="R169" s="146">
        <f>O169+P169+Q169</f>
        <v>316592.7</v>
      </c>
      <c r="S169" s="212"/>
    </row>
    <row r="170" spans="1:19" s="126" customFormat="1" ht="20.25" customHeight="1">
      <c r="A170" s="120"/>
      <c r="B170" s="120"/>
      <c r="C170" s="119">
        <v>17</v>
      </c>
      <c r="D170" s="118" t="s">
        <v>291</v>
      </c>
      <c r="E170" s="118" t="s">
        <v>290</v>
      </c>
      <c r="F170" s="117">
        <v>602091</v>
      </c>
      <c r="G170" s="117"/>
      <c r="H170" s="146">
        <f>F170+G170</f>
        <v>602091</v>
      </c>
      <c r="I170" s="146"/>
      <c r="J170" s="146"/>
      <c r="K170" s="146"/>
      <c r="L170" s="154">
        <f>H170+J170</f>
        <v>602091</v>
      </c>
      <c r="M170" s="154"/>
      <c r="N170" s="154"/>
      <c r="O170" s="146">
        <f>L170+N170</f>
        <v>602091</v>
      </c>
      <c r="P170" s="146">
        <f>340+480-480</f>
        <v>340</v>
      </c>
      <c r="Q170" s="146">
        <f>-70000-333491</f>
        <v>-403491</v>
      </c>
      <c r="R170" s="185">
        <f>O170+P170+Q170</f>
        <v>198940</v>
      </c>
      <c r="S170" s="212"/>
    </row>
    <row r="171" spans="1:19" s="126" customFormat="1" ht="55.5" customHeight="1">
      <c r="A171" s="187"/>
      <c r="B171" s="187"/>
      <c r="C171" s="188">
        <v>34</v>
      </c>
      <c r="D171" s="189" t="s">
        <v>560</v>
      </c>
      <c r="E171" s="189" t="s">
        <v>558</v>
      </c>
      <c r="F171" s="190"/>
      <c r="G171" s="190"/>
      <c r="H171" s="185"/>
      <c r="I171" s="185"/>
      <c r="J171" s="185">
        <v>128390</v>
      </c>
      <c r="K171" s="185"/>
      <c r="L171" s="154">
        <f>H171+J171</f>
        <v>128390</v>
      </c>
      <c r="M171" s="154"/>
      <c r="N171" s="154"/>
      <c r="O171" s="146">
        <f>L171+N171</f>
        <v>128390</v>
      </c>
      <c r="P171" s="185">
        <v>5600</v>
      </c>
      <c r="Q171" s="185"/>
      <c r="R171" s="146">
        <f>O171+P171+Q171</f>
        <v>133990</v>
      </c>
      <c r="S171" s="253"/>
    </row>
    <row r="172" spans="1:19" s="126" customFormat="1" ht="37.5">
      <c r="A172" s="131">
        <v>9</v>
      </c>
      <c r="B172" s="131"/>
      <c r="C172" s="130"/>
      <c r="D172" s="129" t="s">
        <v>289</v>
      </c>
      <c r="E172" s="129" t="s">
        <v>288</v>
      </c>
      <c r="F172" s="128">
        <f aca="true" t="shared" si="28" ref="F172:H173">F173</f>
        <v>0</v>
      </c>
      <c r="G172" s="128">
        <f t="shared" si="28"/>
        <v>2592240</v>
      </c>
      <c r="H172" s="153">
        <f t="shared" si="28"/>
        <v>2592240</v>
      </c>
      <c r="I172" s="153"/>
      <c r="J172" s="153">
        <f aca="true" t="shared" si="29" ref="J172:R173">J173</f>
        <v>0</v>
      </c>
      <c r="K172" s="153">
        <f t="shared" si="29"/>
        <v>0</v>
      </c>
      <c r="L172" s="223">
        <f t="shared" si="29"/>
        <v>2592240</v>
      </c>
      <c r="M172" s="223"/>
      <c r="N172" s="223">
        <f t="shared" si="29"/>
        <v>0</v>
      </c>
      <c r="O172" s="153">
        <f t="shared" si="29"/>
        <v>2592240</v>
      </c>
      <c r="P172" s="153">
        <f t="shared" si="29"/>
        <v>0</v>
      </c>
      <c r="Q172" s="153">
        <f t="shared" si="29"/>
        <v>0</v>
      </c>
      <c r="R172" s="153">
        <f t="shared" si="29"/>
        <v>2592240</v>
      </c>
      <c r="S172" s="212"/>
    </row>
    <row r="173" spans="1:19" s="126" customFormat="1" ht="37.5">
      <c r="A173" s="67"/>
      <c r="B173" s="67">
        <v>279</v>
      </c>
      <c r="C173" s="67"/>
      <c r="D173" s="65" t="s">
        <v>193</v>
      </c>
      <c r="E173" s="65" t="s">
        <v>192</v>
      </c>
      <c r="F173" s="121">
        <f t="shared" si="28"/>
        <v>0</v>
      </c>
      <c r="G173" s="121">
        <f t="shared" si="28"/>
        <v>2592240</v>
      </c>
      <c r="H173" s="152">
        <f t="shared" si="28"/>
        <v>2592240</v>
      </c>
      <c r="I173" s="152"/>
      <c r="J173" s="152">
        <f t="shared" si="29"/>
        <v>0</v>
      </c>
      <c r="K173" s="152">
        <f t="shared" si="29"/>
        <v>0</v>
      </c>
      <c r="L173" s="220">
        <f t="shared" si="29"/>
        <v>2592240</v>
      </c>
      <c r="M173" s="220"/>
      <c r="N173" s="220">
        <f t="shared" si="29"/>
        <v>0</v>
      </c>
      <c r="O173" s="152">
        <f t="shared" si="29"/>
        <v>2592240</v>
      </c>
      <c r="P173" s="152">
        <f t="shared" si="29"/>
        <v>0</v>
      </c>
      <c r="Q173" s="152">
        <f t="shared" si="29"/>
        <v>0</v>
      </c>
      <c r="R173" s="152">
        <f t="shared" si="29"/>
        <v>2592240</v>
      </c>
      <c r="S173" s="212"/>
    </row>
    <row r="174" spans="1:19" s="126" customFormat="1" ht="56.25">
      <c r="A174" s="120"/>
      <c r="B174" s="120"/>
      <c r="C174" s="119">
        <v>11</v>
      </c>
      <c r="D174" s="118" t="s">
        <v>287</v>
      </c>
      <c r="E174" s="118" t="s">
        <v>286</v>
      </c>
      <c r="F174" s="117"/>
      <c r="G174" s="117">
        <v>2592240</v>
      </c>
      <c r="H174" s="146">
        <f>F174+G174</f>
        <v>2592240</v>
      </c>
      <c r="I174" s="146"/>
      <c r="J174" s="146"/>
      <c r="K174" s="146"/>
      <c r="L174" s="154">
        <f>H174+J174</f>
        <v>2592240</v>
      </c>
      <c r="M174" s="154"/>
      <c r="N174" s="154"/>
      <c r="O174" s="146">
        <f>L174+N174</f>
        <v>2592240</v>
      </c>
      <c r="P174" s="146"/>
      <c r="Q174" s="146"/>
      <c r="R174" s="146">
        <f>O174+P174+Q174</f>
        <v>2592240</v>
      </c>
      <c r="S174" s="212"/>
    </row>
    <row r="175" spans="1:19" s="126" customFormat="1" ht="72.75" customHeight="1">
      <c r="A175" s="131">
        <v>10</v>
      </c>
      <c r="B175" s="131"/>
      <c r="C175" s="130"/>
      <c r="D175" s="129" t="s">
        <v>175</v>
      </c>
      <c r="E175" s="129" t="s">
        <v>174</v>
      </c>
      <c r="F175" s="128">
        <f>F176+F180+F185+F201+F203</f>
        <v>4887573</v>
      </c>
      <c r="G175" s="128">
        <f>G176+G180+G185+G201+G203</f>
        <v>4858886</v>
      </c>
      <c r="H175" s="153">
        <f>H176+H180+H185+H201+H203</f>
        <v>9746459</v>
      </c>
      <c r="I175" s="153"/>
      <c r="J175" s="153">
        <f>J176+J180+J185+J201+J203</f>
        <v>1158777</v>
      </c>
      <c r="K175" s="153">
        <f>K176+K180+K185+K201+K203</f>
        <v>0</v>
      </c>
      <c r="L175" s="223">
        <f>L176+L180+L185+L201+L203</f>
        <v>10905236</v>
      </c>
      <c r="M175" s="223"/>
      <c r="N175" s="223">
        <f>N176+N180+N185+N201+N203</f>
        <v>0</v>
      </c>
      <c r="O175" s="153">
        <f>O176+O180+O185+O201+O203</f>
        <v>10905236</v>
      </c>
      <c r="P175" s="153">
        <f>P176+P180+P185+P201+P203</f>
        <v>29695.4</v>
      </c>
      <c r="Q175" s="153">
        <f>Q176+Q180+Q185+Q201+Q203</f>
        <v>-10871.9</v>
      </c>
      <c r="R175" s="153">
        <f>R176+R180+R185+R201+R203</f>
        <v>10924059.5</v>
      </c>
      <c r="S175" s="212"/>
    </row>
    <row r="176" spans="1:19" s="126" customFormat="1" ht="26.25" customHeight="1">
      <c r="A176" s="67"/>
      <c r="B176" s="67">
        <v>251</v>
      </c>
      <c r="C176" s="67"/>
      <c r="D176" s="65" t="s">
        <v>285</v>
      </c>
      <c r="E176" s="65" t="s">
        <v>284</v>
      </c>
      <c r="F176" s="121">
        <f>F177</f>
        <v>32738</v>
      </c>
      <c r="G176" s="121">
        <f>G177</f>
        <v>0</v>
      </c>
      <c r="H176" s="152">
        <f>H177</f>
        <v>32738</v>
      </c>
      <c r="I176" s="152"/>
      <c r="J176" s="152">
        <f>J177</f>
        <v>0</v>
      </c>
      <c r="K176" s="152">
        <f>K177</f>
        <v>0</v>
      </c>
      <c r="L176" s="220">
        <f>L177</f>
        <v>32738</v>
      </c>
      <c r="M176" s="220"/>
      <c r="N176" s="220">
        <f>N177</f>
        <v>0</v>
      </c>
      <c r="O176" s="152">
        <f>O177+O178+O179</f>
        <v>32738</v>
      </c>
      <c r="P176" s="152">
        <f>P177+P178+P179</f>
        <v>14791</v>
      </c>
      <c r="Q176" s="152">
        <f>Q177+Q178+Q179</f>
        <v>-35</v>
      </c>
      <c r="R176" s="152">
        <f>R177+R178+R179</f>
        <v>47494</v>
      </c>
      <c r="S176" s="212"/>
    </row>
    <row r="177" spans="1:19" s="126" customFormat="1" ht="56.25">
      <c r="A177" s="120"/>
      <c r="B177" s="120"/>
      <c r="C177" s="119">
        <v>1</v>
      </c>
      <c r="D177" s="118" t="s">
        <v>283</v>
      </c>
      <c r="E177" s="118" t="s">
        <v>282</v>
      </c>
      <c r="F177" s="117">
        <v>32738</v>
      </c>
      <c r="G177" s="117"/>
      <c r="H177" s="146">
        <f>F177+G177</f>
        <v>32738</v>
      </c>
      <c r="I177" s="146"/>
      <c r="J177" s="146"/>
      <c r="K177" s="146"/>
      <c r="L177" s="154">
        <f>H177+J177</f>
        <v>32738</v>
      </c>
      <c r="M177" s="154"/>
      <c r="N177" s="154"/>
      <c r="O177" s="146">
        <f>L177+N177</f>
        <v>32738</v>
      </c>
      <c r="P177" s="146"/>
      <c r="Q177" s="146">
        <f>-35</f>
        <v>-35</v>
      </c>
      <c r="R177" s="146">
        <f>O177+P177+Q177</f>
        <v>32703</v>
      </c>
      <c r="S177" s="212"/>
    </row>
    <row r="178" spans="1:19" s="126" customFormat="1" ht="27.75" customHeight="1">
      <c r="A178" s="120"/>
      <c r="B178" s="120"/>
      <c r="C178" s="119">
        <v>2</v>
      </c>
      <c r="D178" s="118" t="s">
        <v>318</v>
      </c>
      <c r="E178" s="118" t="s">
        <v>317</v>
      </c>
      <c r="F178" s="117"/>
      <c r="G178" s="117"/>
      <c r="H178" s="146"/>
      <c r="I178" s="146"/>
      <c r="J178" s="146"/>
      <c r="K178" s="146"/>
      <c r="L178" s="154"/>
      <c r="M178" s="154"/>
      <c r="N178" s="154"/>
      <c r="O178" s="146"/>
      <c r="P178" s="146">
        <v>35</v>
      </c>
      <c r="Q178" s="146"/>
      <c r="R178" s="146">
        <f>O178+P178+Q178</f>
        <v>35</v>
      </c>
      <c r="S178" s="212"/>
    </row>
    <row r="179" spans="1:19" s="126" customFormat="1" ht="27.75" customHeight="1">
      <c r="A179" s="120"/>
      <c r="B179" s="120"/>
      <c r="C179" s="119">
        <v>3</v>
      </c>
      <c r="D179" s="118" t="s">
        <v>585</v>
      </c>
      <c r="E179" s="118" t="s">
        <v>575</v>
      </c>
      <c r="F179" s="117"/>
      <c r="G179" s="117"/>
      <c r="H179" s="146"/>
      <c r="I179" s="146"/>
      <c r="J179" s="146"/>
      <c r="K179" s="146"/>
      <c r="L179" s="154"/>
      <c r="M179" s="154"/>
      <c r="N179" s="154"/>
      <c r="O179" s="146"/>
      <c r="P179" s="146">
        <f>4873.9+9882.1</f>
        <v>14756</v>
      </c>
      <c r="Q179" s="146"/>
      <c r="R179" s="146">
        <f>O179+P179+Q179</f>
        <v>14756</v>
      </c>
      <c r="S179" s="212"/>
    </row>
    <row r="180" spans="1:19" s="126" customFormat="1" ht="37.5">
      <c r="A180" s="67"/>
      <c r="B180" s="67">
        <v>254</v>
      </c>
      <c r="C180" s="67"/>
      <c r="D180" s="65" t="s">
        <v>281</v>
      </c>
      <c r="E180" s="65" t="s">
        <v>280</v>
      </c>
      <c r="F180" s="121">
        <f>SUM(F181:F184)</f>
        <v>1141480</v>
      </c>
      <c r="G180" s="121">
        <f>SUM(G181:G184)</f>
        <v>481034</v>
      </c>
      <c r="H180" s="152">
        <f>SUM(H181:H184)</f>
        <v>1622514</v>
      </c>
      <c r="I180" s="152"/>
      <c r="J180" s="152">
        <f>SUM(J181:J184)</f>
        <v>19746.7</v>
      </c>
      <c r="K180" s="152">
        <f>SUM(K181:K184)</f>
        <v>0</v>
      </c>
      <c r="L180" s="220">
        <f>SUM(L181:L184)</f>
        <v>1642260.7</v>
      </c>
      <c r="M180" s="220"/>
      <c r="N180" s="220">
        <f>SUM(N181:N184)</f>
        <v>0</v>
      </c>
      <c r="O180" s="152">
        <f>SUM(O181:O184)</f>
        <v>1642260.7</v>
      </c>
      <c r="P180" s="152">
        <f>SUM(P181:P184)</f>
        <v>10836.9</v>
      </c>
      <c r="Q180" s="152">
        <f>SUM(Q181:Q184)</f>
        <v>-10836.9</v>
      </c>
      <c r="R180" s="152">
        <f>SUM(R181:R184)</f>
        <v>1642260.7</v>
      </c>
      <c r="S180" s="212"/>
    </row>
    <row r="181" spans="1:19" s="126" customFormat="1" ht="39" customHeight="1">
      <c r="A181" s="120"/>
      <c r="B181" s="120"/>
      <c r="C181" s="119">
        <v>1</v>
      </c>
      <c r="D181" s="118" t="s">
        <v>279</v>
      </c>
      <c r="E181" s="118" t="s">
        <v>278</v>
      </c>
      <c r="F181" s="117">
        <v>58489</v>
      </c>
      <c r="G181" s="117"/>
      <c r="H181" s="146">
        <f>F181+G181</f>
        <v>58489</v>
      </c>
      <c r="I181" s="146"/>
      <c r="J181" s="146"/>
      <c r="K181" s="146"/>
      <c r="L181" s="154">
        <f>H181+J181</f>
        <v>58489</v>
      </c>
      <c r="M181" s="154"/>
      <c r="N181" s="154"/>
      <c r="O181" s="146">
        <f>L181+N181</f>
        <v>58489</v>
      </c>
      <c r="P181" s="146"/>
      <c r="Q181" s="146"/>
      <c r="R181" s="146">
        <f>O181+P181+Q181</f>
        <v>58489</v>
      </c>
      <c r="S181" s="212"/>
    </row>
    <row r="182" spans="1:19" s="126" customFormat="1" ht="37.5">
      <c r="A182" s="120"/>
      <c r="B182" s="120"/>
      <c r="C182" s="119">
        <v>5</v>
      </c>
      <c r="D182" s="118" t="s">
        <v>277</v>
      </c>
      <c r="E182" s="118" t="s">
        <v>276</v>
      </c>
      <c r="F182" s="117">
        <v>466808</v>
      </c>
      <c r="G182" s="117"/>
      <c r="H182" s="146">
        <f>F182+G182</f>
        <v>466808</v>
      </c>
      <c r="I182" s="146"/>
      <c r="J182" s="146"/>
      <c r="K182" s="146"/>
      <c r="L182" s="154">
        <f>H182+J182</f>
        <v>466808</v>
      </c>
      <c r="M182" s="154"/>
      <c r="N182" s="154"/>
      <c r="O182" s="146">
        <f>L182+N182</f>
        <v>466808</v>
      </c>
      <c r="P182" s="146">
        <f>3110.7+1600+56.2+6070</f>
        <v>10836.9</v>
      </c>
      <c r="Q182" s="146"/>
      <c r="R182" s="146">
        <f>O182+P182+Q182</f>
        <v>477644.9</v>
      </c>
      <c r="S182" s="212"/>
    </row>
    <row r="183" spans="1:19" s="126" customFormat="1" ht="24" customHeight="1">
      <c r="A183" s="120"/>
      <c r="B183" s="120"/>
      <c r="C183" s="119">
        <v>8</v>
      </c>
      <c r="D183" s="118" t="s">
        <v>275</v>
      </c>
      <c r="E183" s="118" t="s">
        <v>274</v>
      </c>
      <c r="F183" s="117">
        <v>616183</v>
      </c>
      <c r="G183" s="117"/>
      <c r="H183" s="146">
        <f>F183+G183</f>
        <v>616183</v>
      </c>
      <c r="I183" s="146"/>
      <c r="J183" s="146"/>
      <c r="K183" s="146"/>
      <c r="L183" s="225">
        <f>H183+J183</f>
        <v>616183</v>
      </c>
      <c r="M183" s="225"/>
      <c r="N183" s="154"/>
      <c r="O183" s="146">
        <f>L183+N183</f>
        <v>616183</v>
      </c>
      <c r="P183" s="207"/>
      <c r="Q183" s="146">
        <f>-10836.9</f>
        <v>-10836.9</v>
      </c>
      <c r="R183" s="146">
        <f>O183+P183+Q183</f>
        <v>605346.1</v>
      </c>
      <c r="S183" s="212"/>
    </row>
    <row r="184" spans="1:19" s="126" customFormat="1" ht="76.5" customHeight="1">
      <c r="A184" s="187"/>
      <c r="B184" s="187"/>
      <c r="C184" s="188">
        <v>9</v>
      </c>
      <c r="D184" s="127" t="s">
        <v>273</v>
      </c>
      <c r="E184" s="127" t="s">
        <v>272</v>
      </c>
      <c r="F184" s="190"/>
      <c r="G184" s="190">
        <v>481034</v>
      </c>
      <c r="H184" s="185">
        <f>G184</f>
        <v>481034</v>
      </c>
      <c r="I184" s="185"/>
      <c r="J184" s="185">
        <v>19746.7</v>
      </c>
      <c r="K184" s="185"/>
      <c r="L184" s="226">
        <f>H184+J184</f>
        <v>500780.7</v>
      </c>
      <c r="M184" s="226"/>
      <c r="N184" s="154"/>
      <c r="O184" s="146">
        <f>L184+N184</f>
        <v>500780.7</v>
      </c>
      <c r="P184" s="208"/>
      <c r="Q184" s="185"/>
      <c r="R184" s="146">
        <f>O184+P184+Q184</f>
        <v>500780.7</v>
      </c>
      <c r="S184" s="212"/>
    </row>
    <row r="185" spans="1:19" s="126" customFormat="1" ht="27" customHeight="1">
      <c r="A185" s="67"/>
      <c r="B185" s="67">
        <v>255</v>
      </c>
      <c r="C185" s="67"/>
      <c r="D185" s="65" t="s">
        <v>271</v>
      </c>
      <c r="E185" s="65" t="s">
        <v>270</v>
      </c>
      <c r="F185" s="121">
        <f>SUM(F186:F199)</f>
        <v>3713355</v>
      </c>
      <c r="G185" s="121">
        <f>SUM(G186:G199)</f>
        <v>3374451</v>
      </c>
      <c r="H185" s="152">
        <f>SUM(H186:H200)</f>
        <v>7087806</v>
      </c>
      <c r="I185" s="152"/>
      <c r="J185" s="152">
        <f>SUM(J186:J200)</f>
        <v>1139030.3</v>
      </c>
      <c r="K185" s="152">
        <f>SUM(K186:K200)</f>
        <v>0</v>
      </c>
      <c r="L185" s="227">
        <f>SUM(L186:L200)</f>
        <v>8226836.3</v>
      </c>
      <c r="M185" s="227"/>
      <c r="N185" s="220">
        <f>SUM(N186:N200)</f>
        <v>0</v>
      </c>
      <c r="O185" s="209">
        <f>SUM(O186:O200)</f>
        <v>8226836.3</v>
      </c>
      <c r="P185" s="209">
        <f>SUM(P186:P200)</f>
        <v>4067.5</v>
      </c>
      <c r="Q185" s="209">
        <f>SUM(Q186:Q200)</f>
        <v>0</v>
      </c>
      <c r="R185" s="209">
        <f>SUM(R186:R200)</f>
        <v>8230903.8</v>
      </c>
      <c r="S185" s="212"/>
    </row>
    <row r="186" spans="1:19" s="126" customFormat="1" ht="43.5" customHeight="1">
      <c r="A186" s="120"/>
      <c r="B186" s="120"/>
      <c r="C186" s="119">
        <v>1</v>
      </c>
      <c r="D186" s="118" t="s">
        <v>269</v>
      </c>
      <c r="E186" s="118" t="s">
        <v>268</v>
      </c>
      <c r="F186" s="117">
        <v>74990</v>
      </c>
      <c r="G186" s="117"/>
      <c r="H186" s="146">
        <f aca="true" t="shared" si="30" ref="H186:H199">F186+G186</f>
        <v>74990</v>
      </c>
      <c r="I186" s="146"/>
      <c r="J186" s="146"/>
      <c r="K186" s="146"/>
      <c r="L186" s="154">
        <f aca="true" t="shared" si="31" ref="L186:L199">H186+J186</f>
        <v>74990</v>
      </c>
      <c r="M186" s="154"/>
      <c r="N186" s="154"/>
      <c r="O186" s="146">
        <f aca="true" t="shared" si="32" ref="O186:O199">L186+N186</f>
        <v>74990</v>
      </c>
      <c r="P186" s="146">
        <v>436</v>
      </c>
      <c r="Q186" s="146"/>
      <c r="R186" s="146">
        <f aca="true" t="shared" si="33" ref="R186:R199">O186+P186+Q186</f>
        <v>75426</v>
      </c>
      <c r="S186" s="212"/>
    </row>
    <row r="187" spans="1:19" s="126" customFormat="1" ht="27.75" customHeight="1">
      <c r="A187" s="120"/>
      <c r="B187" s="120"/>
      <c r="C187" s="119">
        <v>2</v>
      </c>
      <c r="D187" s="118" t="s">
        <v>267</v>
      </c>
      <c r="E187" s="118" t="s">
        <v>266</v>
      </c>
      <c r="F187" s="117"/>
      <c r="G187" s="117">
        <v>394062</v>
      </c>
      <c r="H187" s="146">
        <f t="shared" si="30"/>
        <v>394062</v>
      </c>
      <c r="I187" s="146"/>
      <c r="J187" s="146">
        <v>21309</v>
      </c>
      <c r="K187" s="146"/>
      <c r="L187" s="154">
        <f t="shared" si="31"/>
        <v>415371</v>
      </c>
      <c r="M187" s="154"/>
      <c r="N187" s="154"/>
      <c r="O187" s="146">
        <f t="shared" si="32"/>
        <v>415371</v>
      </c>
      <c r="P187" s="146"/>
      <c r="Q187" s="146"/>
      <c r="R187" s="146">
        <f t="shared" si="33"/>
        <v>415371</v>
      </c>
      <c r="S187" s="212"/>
    </row>
    <row r="188" spans="1:19" s="126" customFormat="1" ht="27.75" customHeight="1">
      <c r="A188" s="120"/>
      <c r="B188" s="120"/>
      <c r="C188" s="119">
        <v>3</v>
      </c>
      <c r="D188" s="118" t="s">
        <v>219</v>
      </c>
      <c r="E188" s="118" t="s">
        <v>218</v>
      </c>
      <c r="F188" s="117">
        <v>2570</v>
      </c>
      <c r="G188" s="117"/>
      <c r="H188" s="146">
        <f t="shared" si="30"/>
        <v>2570</v>
      </c>
      <c r="I188" s="146"/>
      <c r="J188" s="146"/>
      <c r="K188" s="146"/>
      <c r="L188" s="154">
        <f t="shared" si="31"/>
        <v>2570</v>
      </c>
      <c r="M188" s="154"/>
      <c r="N188" s="154"/>
      <c r="O188" s="146">
        <f t="shared" si="32"/>
        <v>2570</v>
      </c>
      <c r="P188" s="146"/>
      <c r="Q188" s="146"/>
      <c r="R188" s="146">
        <f t="shared" si="33"/>
        <v>2570</v>
      </c>
      <c r="S188" s="212"/>
    </row>
    <row r="189" spans="1:19" s="126" customFormat="1" ht="40.5" customHeight="1">
      <c r="A189" s="120"/>
      <c r="B189" s="120"/>
      <c r="C189" s="119">
        <v>4</v>
      </c>
      <c r="D189" s="118" t="s">
        <v>265</v>
      </c>
      <c r="E189" s="118" t="s">
        <v>264</v>
      </c>
      <c r="F189" s="117">
        <v>1166</v>
      </c>
      <c r="G189" s="117"/>
      <c r="H189" s="146">
        <f t="shared" si="30"/>
        <v>1166</v>
      </c>
      <c r="I189" s="146"/>
      <c r="J189" s="146"/>
      <c r="K189" s="146"/>
      <c r="L189" s="154">
        <f t="shared" si="31"/>
        <v>1166</v>
      </c>
      <c r="M189" s="154"/>
      <c r="N189" s="154"/>
      <c r="O189" s="146">
        <f t="shared" si="32"/>
        <v>1166</v>
      </c>
      <c r="P189" s="146"/>
      <c r="Q189" s="146"/>
      <c r="R189" s="146">
        <f t="shared" si="33"/>
        <v>1166</v>
      </c>
      <c r="S189" s="212"/>
    </row>
    <row r="190" spans="1:19" s="126" customFormat="1" ht="78" customHeight="1">
      <c r="A190" s="120"/>
      <c r="B190" s="120"/>
      <c r="C190" s="119">
        <v>9</v>
      </c>
      <c r="D190" s="118" t="s">
        <v>263</v>
      </c>
      <c r="E190" s="118" t="s">
        <v>262</v>
      </c>
      <c r="F190" s="117"/>
      <c r="G190" s="117">
        <v>265207</v>
      </c>
      <c r="H190" s="146">
        <f t="shared" si="30"/>
        <v>265207</v>
      </c>
      <c r="I190" s="146"/>
      <c r="J190" s="146">
        <v>290762</v>
      </c>
      <c r="K190" s="146"/>
      <c r="L190" s="154">
        <f t="shared" si="31"/>
        <v>555969</v>
      </c>
      <c r="M190" s="154"/>
      <c r="N190" s="154"/>
      <c r="O190" s="146">
        <f t="shared" si="32"/>
        <v>555969</v>
      </c>
      <c r="P190" s="146"/>
      <c r="Q190" s="146"/>
      <c r="R190" s="146">
        <f t="shared" si="33"/>
        <v>555969</v>
      </c>
      <c r="S190" s="212"/>
    </row>
    <row r="191" spans="1:19" s="126" customFormat="1" ht="30" customHeight="1">
      <c r="A191" s="120"/>
      <c r="B191" s="120"/>
      <c r="C191" s="119">
        <v>10</v>
      </c>
      <c r="D191" s="118" t="s">
        <v>261</v>
      </c>
      <c r="E191" s="118" t="s">
        <v>260</v>
      </c>
      <c r="F191" s="117">
        <v>95370</v>
      </c>
      <c r="G191" s="117">
        <v>1397247</v>
      </c>
      <c r="H191" s="146">
        <f t="shared" si="30"/>
        <v>1492617</v>
      </c>
      <c r="I191" s="146"/>
      <c r="J191" s="164">
        <f>525399.3+117719</f>
        <v>643118.3</v>
      </c>
      <c r="K191" s="164"/>
      <c r="L191" s="154">
        <f t="shared" si="31"/>
        <v>2135735.3</v>
      </c>
      <c r="M191" s="154"/>
      <c r="N191" s="154"/>
      <c r="O191" s="146">
        <f t="shared" si="32"/>
        <v>2135735.3</v>
      </c>
      <c r="P191" s="146"/>
      <c r="Q191" s="164"/>
      <c r="R191" s="146">
        <f t="shared" si="33"/>
        <v>2135735.3</v>
      </c>
      <c r="S191" s="212"/>
    </row>
    <row r="192" spans="1:19" s="126" customFormat="1" ht="58.5" customHeight="1">
      <c r="A192" s="120"/>
      <c r="B192" s="120"/>
      <c r="C192" s="119">
        <v>11</v>
      </c>
      <c r="D192" s="118" t="s">
        <v>259</v>
      </c>
      <c r="E192" s="118" t="s">
        <v>258</v>
      </c>
      <c r="F192" s="117">
        <v>1143629</v>
      </c>
      <c r="G192" s="117"/>
      <c r="H192" s="146">
        <f t="shared" si="30"/>
        <v>1143629</v>
      </c>
      <c r="I192" s="146"/>
      <c r="J192" s="146"/>
      <c r="K192" s="146"/>
      <c r="L192" s="154">
        <f t="shared" si="31"/>
        <v>1143629</v>
      </c>
      <c r="M192" s="154"/>
      <c r="N192" s="154"/>
      <c r="O192" s="146">
        <f t="shared" si="32"/>
        <v>1143629</v>
      </c>
      <c r="P192" s="146"/>
      <c r="Q192" s="146"/>
      <c r="R192" s="146">
        <f t="shared" si="33"/>
        <v>1143629</v>
      </c>
      <c r="S192" s="212"/>
    </row>
    <row r="193" spans="1:19" s="126" customFormat="1" ht="43.5" customHeight="1">
      <c r="A193" s="120"/>
      <c r="B193" s="120"/>
      <c r="C193" s="119">
        <v>13</v>
      </c>
      <c r="D193" s="118" t="s">
        <v>257</v>
      </c>
      <c r="E193" s="118" t="s">
        <v>256</v>
      </c>
      <c r="F193" s="117"/>
      <c r="G193" s="117">
        <v>1127712</v>
      </c>
      <c r="H193" s="146">
        <f t="shared" si="30"/>
        <v>1127712</v>
      </c>
      <c r="I193" s="146"/>
      <c r="J193" s="146">
        <v>66227</v>
      </c>
      <c r="K193" s="146"/>
      <c r="L193" s="154">
        <f t="shared" si="31"/>
        <v>1193939</v>
      </c>
      <c r="M193" s="154"/>
      <c r="N193" s="154"/>
      <c r="O193" s="146">
        <f t="shared" si="32"/>
        <v>1193939</v>
      </c>
      <c r="P193" s="146"/>
      <c r="Q193" s="146"/>
      <c r="R193" s="146">
        <f t="shared" si="33"/>
        <v>1193939</v>
      </c>
      <c r="S193" s="212"/>
    </row>
    <row r="194" spans="1:19" s="126" customFormat="1" ht="27.75" customHeight="1">
      <c r="A194" s="120"/>
      <c r="B194" s="120"/>
      <c r="C194" s="119">
        <v>18</v>
      </c>
      <c r="D194" s="118" t="s">
        <v>583</v>
      </c>
      <c r="E194" s="118" t="s">
        <v>576</v>
      </c>
      <c r="F194" s="117"/>
      <c r="G194" s="117"/>
      <c r="H194" s="146"/>
      <c r="I194" s="146"/>
      <c r="J194" s="146"/>
      <c r="K194" s="146"/>
      <c r="L194" s="154"/>
      <c r="M194" s="154"/>
      <c r="N194" s="154"/>
      <c r="O194" s="146"/>
      <c r="P194" s="146">
        <v>3631.5</v>
      </c>
      <c r="Q194" s="146"/>
      <c r="R194" s="146">
        <f t="shared" si="33"/>
        <v>3631.5</v>
      </c>
      <c r="S194" s="212"/>
    </row>
    <row r="195" spans="1:19" s="126" customFormat="1" ht="72.75" customHeight="1">
      <c r="A195" s="120"/>
      <c r="B195" s="120"/>
      <c r="C195" s="119">
        <v>20</v>
      </c>
      <c r="D195" s="118" t="s">
        <v>255</v>
      </c>
      <c r="E195" s="118" t="s">
        <v>254</v>
      </c>
      <c r="F195" s="117">
        <v>2395630</v>
      </c>
      <c r="G195" s="117"/>
      <c r="H195" s="146">
        <f t="shared" si="30"/>
        <v>2395630</v>
      </c>
      <c r="I195" s="146"/>
      <c r="J195" s="146"/>
      <c r="K195" s="146"/>
      <c r="L195" s="154">
        <f t="shared" si="31"/>
        <v>2395630</v>
      </c>
      <c r="M195" s="154"/>
      <c r="N195" s="154"/>
      <c r="O195" s="146">
        <f t="shared" si="32"/>
        <v>2395630</v>
      </c>
      <c r="P195" s="146"/>
      <c r="Q195" s="146"/>
      <c r="R195" s="146">
        <f t="shared" si="33"/>
        <v>2395630</v>
      </c>
      <c r="S195" s="212"/>
    </row>
    <row r="196" spans="1:19" s="126" customFormat="1" ht="54.75" customHeight="1">
      <c r="A196" s="120"/>
      <c r="B196" s="120"/>
      <c r="C196" s="119">
        <v>26</v>
      </c>
      <c r="D196" s="118" t="s">
        <v>253</v>
      </c>
      <c r="E196" s="118" t="s">
        <v>252</v>
      </c>
      <c r="F196" s="117"/>
      <c r="G196" s="117">
        <f>170909-2995</f>
        <v>167914</v>
      </c>
      <c r="H196" s="146">
        <f t="shared" si="30"/>
        <v>167914</v>
      </c>
      <c r="I196" s="146"/>
      <c r="J196" s="184">
        <v>23476</v>
      </c>
      <c r="K196" s="146"/>
      <c r="L196" s="154">
        <f t="shared" si="31"/>
        <v>191390</v>
      </c>
      <c r="M196" s="154"/>
      <c r="N196" s="154"/>
      <c r="O196" s="146">
        <f t="shared" si="32"/>
        <v>191390</v>
      </c>
      <c r="P196" s="146"/>
      <c r="Q196" s="146"/>
      <c r="R196" s="146">
        <f t="shared" si="33"/>
        <v>191390</v>
      </c>
      <c r="S196" s="212"/>
    </row>
    <row r="197" spans="1:19" s="126" customFormat="1" ht="36.75" customHeight="1">
      <c r="A197" s="120"/>
      <c r="B197" s="120"/>
      <c r="C197" s="132">
        <v>28</v>
      </c>
      <c r="D197" s="127" t="s">
        <v>251</v>
      </c>
      <c r="E197" s="127" t="s">
        <v>250</v>
      </c>
      <c r="F197" s="117"/>
      <c r="G197" s="117">
        <v>2995</v>
      </c>
      <c r="H197" s="146">
        <f t="shared" si="30"/>
        <v>2995</v>
      </c>
      <c r="I197" s="146"/>
      <c r="J197" s="146"/>
      <c r="K197" s="146"/>
      <c r="L197" s="154">
        <f t="shared" si="31"/>
        <v>2995</v>
      </c>
      <c r="M197" s="154"/>
      <c r="N197" s="154"/>
      <c r="O197" s="146">
        <f t="shared" si="32"/>
        <v>2995</v>
      </c>
      <c r="P197" s="146"/>
      <c r="Q197" s="146"/>
      <c r="R197" s="146">
        <f t="shared" si="33"/>
        <v>2995</v>
      </c>
      <c r="S197" s="212"/>
    </row>
    <row r="198" spans="1:19" s="126" customFormat="1" ht="150">
      <c r="A198" s="187"/>
      <c r="B198" s="187"/>
      <c r="C198" s="188">
        <v>31</v>
      </c>
      <c r="D198" s="189" t="s">
        <v>564</v>
      </c>
      <c r="E198" s="189" t="s">
        <v>563</v>
      </c>
      <c r="F198" s="190"/>
      <c r="G198" s="190"/>
      <c r="H198" s="185"/>
      <c r="I198" s="185"/>
      <c r="J198" s="185">
        <v>94138</v>
      </c>
      <c r="K198" s="185"/>
      <c r="L198" s="222">
        <f t="shared" si="31"/>
        <v>94138</v>
      </c>
      <c r="M198" s="222"/>
      <c r="N198" s="154"/>
      <c r="O198" s="146">
        <f t="shared" si="32"/>
        <v>94138</v>
      </c>
      <c r="P198" s="205"/>
      <c r="Q198" s="185"/>
      <c r="R198" s="146">
        <f t="shared" si="33"/>
        <v>94138</v>
      </c>
      <c r="S198" s="212"/>
    </row>
    <row r="199" spans="1:19" s="126" customFormat="1" ht="37.5">
      <c r="A199" s="120"/>
      <c r="B199" s="120"/>
      <c r="C199" s="119">
        <v>34</v>
      </c>
      <c r="D199" s="118" t="s">
        <v>249</v>
      </c>
      <c r="E199" s="118" t="s">
        <v>248</v>
      </c>
      <c r="F199" s="117"/>
      <c r="G199" s="117">
        <v>19314</v>
      </c>
      <c r="H199" s="146">
        <f t="shared" si="30"/>
        <v>19314</v>
      </c>
      <c r="I199" s="146"/>
      <c r="J199" s="146"/>
      <c r="K199" s="146"/>
      <c r="L199" s="225">
        <f t="shared" si="31"/>
        <v>19314</v>
      </c>
      <c r="M199" s="225"/>
      <c r="N199" s="154"/>
      <c r="O199" s="146">
        <f t="shared" si="32"/>
        <v>19314</v>
      </c>
      <c r="P199" s="207"/>
      <c r="Q199" s="146"/>
      <c r="R199" s="146">
        <f t="shared" si="33"/>
        <v>19314</v>
      </c>
      <c r="S199" s="212"/>
    </row>
    <row r="200" spans="1:19" s="126" customFormat="1" ht="76.5" customHeight="1" hidden="1">
      <c r="A200" s="187"/>
      <c r="B200" s="187"/>
      <c r="C200" s="188"/>
      <c r="D200" s="189"/>
      <c r="E200" s="189"/>
      <c r="F200" s="190"/>
      <c r="G200" s="190"/>
      <c r="H200" s="185"/>
      <c r="I200" s="185"/>
      <c r="J200" s="185"/>
      <c r="K200" s="185"/>
      <c r="L200" s="222"/>
      <c r="M200" s="222"/>
      <c r="N200" s="154"/>
      <c r="O200" s="205"/>
      <c r="P200" s="205"/>
      <c r="Q200" s="185"/>
      <c r="R200" s="205"/>
      <c r="S200" s="212"/>
    </row>
    <row r="201" spans="1:19" s="126" customFormat="1" ht="37.5">
      <c r="A201" s="67"/>
      <c r="B201" s="67">
        <v>258</v>
      </c>
      <c r="C201" s="67"/>
      <c r="D201" s="65" t="s">
        <v>173</v>
      </c>
      <c r="E201" s="65" t="s">
        <v>172</v>
      </c>
      <c r="F201" s="121">
        <f>SUM(F202:F202)</f>
        <v>0</v>
      </c>
      <c r="G201" s="121">
        <f>SUM(G202:G202)</f>
        <v>69870</v>
      </c>
      <c r="H201" s="152">
        <f>SUM(H202:H202)</f>
        <v>69870</v>
      </c>
      <c r="I201" s="152"/>
      <c r="J201" s="152">
        <f>SUM(J202:J202)</f>
        <v>0</v>
      </c>
      <c r="K201" s="152">
        <f>SUM(K202:K202)</f>
        <v>0</v>
      </c>
      <c r="L201" s="221">
        <f>SUM(L202:L202)</f>
        <v>69870</v>
      </c>
      <c r="M201" s="221"/>
      <c r="N201" s="220">
        <f>SUM(N202:N202)</f>
        <v>0</v>
      </c>
      <c r="O201" s="206">
        <f>SUM(O202:O202)</f>
        <v>69870</v>
      </c>
      <c r="P201" s="206">
        <f>SUM(P202:P202)</f>
        <v>0</v>
      </c>
      <c r="Q201" s="206">
        <f>SUM(Q202:Q202)</f>
        <v>0</v>
      </c>
      <c r="R201" s="206">
        <f>SUM(R202:R202)</f>
        <v>69870</v>
      </c>
      <c r="S201" s="212"/>
    </row>
    <row r="202" spans="1:19" s="126" customFormat="1" ht="75">
      <c r="A202" s="120"/>
      <c r="B202" s="120"/>
      <c r="C202" s="119">
        <v>99</v>
      </c>
      <c r="D202" s="118" t="s">
        <v>247</v>
      </c>
      <c r="E202" s="118" t="s">
        <v>246</v>
      </c>
      <c r="F202" s="117"/>
      <c r="G202" s="117">
        <v>69870</v>
      </c>
      <c r="H202" s="146">
        <f>F202+G202</f>
        <v>69870</v>
      </c>
      <c r="I202" s="146"/>
      <c r="J202" s="146"/>
      <c r="K202" s="146"/>
      <c r="L202" s="154">
        <f>H202+J202</f>
        <v>69870</v>
      </c>
      <c r="M202" s="154"/>
      <c r="N202" s="154"/>
      <c r="O202" s="146">
        <f>L202+N202</f>
        <v>69870</v>
      </c>
      <c r="P202" s="146"/>
      <c r="Q202" s="146"/>
      <c r="R202" s="146">
        <f>O202+P202+Q202</f>
        <v>69870</v>
      </c>
      <c r="S202" s="212"/>
    </row>
    <row r="203" spans="1:19" s="126" customFormat="1" ht="18.75">
      <c r="A203" s="67"/>
      <c r="B203" s="67">
        <v>271</v>
      </c>
      <c r="C203" s="67"/>
      <c r="D203" s="65" t="s">
        <v>179</v>
      </c>
      <c r="E203" s="65" t="s">
        <v>178</v>
      </c>
      <c r="F203" s="121">
        <f>F204</f>
        <v>0</v>
      </c>
      <c r="G203" s="121">
        <f>G204</f>
        <v>933531</v>
      </c>
      <c r="H203" s="152">
        <f>H204</f>
        <v>933531</v>
      </c>
      <c r="I203" s="152"/>
      <c r="J203" s="152">
        <f>J204</f>
        <v>0</v>
      </c>
      <c r="K203" s="152">
        <f>K204</f>
        <v>0</v>
      </c>
      <c r="L203" s="220">
        <f>L204</f>
        <v>933531</v>
      </c>
      <c r="M203" s="220"/>
      <c r="N203" s="220">
        <f>N204</f>
        <v>0</v>
      </c>
      <c r="O203" s="152">
        <f>O204</f>
        <v>933531</v>
      </c>
      <c r="P203" s="152">
        <f>P204</f>
        <v>0</v>
      </c>
      <c r="Q203" s="152">
        <f>Q204</f>
        <v>0</v>
      </c>
      <c r="R203" s="152">
        <f>R204</f>
        <v>933531</v>
      </c>
      <c r="S203" s="212"/>
    </row>
    <row r="204" spans="1:19" s="126" customFormat="1" ht="56.25">
      <c r="A204" s="120"/>
      <c r="B204" s="120"/>
      <c r="C204" s="119">
        <v>29</v>
      </c>
      <c r="D204" s="118" t="s">
        <v>245</v>
      </c>
      <c r="E204" s="118" t="s">
        <v>244</v>
      </c>
      <c r="F204" s="117"/>
      <c r="G204" s="117">
        <v>933531</v>
      </c>
      <c r="H204" s="146">
        <f>F204+G204</f>
        <v>933531</v>
      </c>
      <c r="I204" s="146"/>
      <c r="J204" s="146"/>
      <c r="K204" s="146"/>
      <c r="L204" s="154">
        <f>H204+J204</f>
        <v>933531</v>
      </c>
      <c r="M204" s="154"/>
      <c r="N204" s="154"/>
      <c r="O204" s="146">
        <f>L204+N204</f>
        <v>933531</v>
      </c>
      <c r="P204" s="146"/>
      <c r="Q204" s="146"/>
      <c r="R204" s="146">
        <f>O204+P204+Q204</f>
        <v>933531</v>
      </c>
      <c r="S204" s="212"/>
    </row>
    <row r="205" spans="1:19" s="126" customFormat="1" ht="37.5">
      <c r="A205" s="131">
        <v>11</v>
      </c>
      <c r="B205" s="131"/>
      <c r="C205" s="130"/>
      <c r="D205" s="129" t="s">
        <v>243</v>
      </c>
      <c r="E205" s="129" t="s">
        <v>242</v>
      </c>
      <c r="F205" s="128">
        <f>F206+F209+F213</f>
        <v>1173315</v>
      </c>
      <c r="G205" s="128">
        <f>G206+G209+G213</f>
        <v>0</v>
      </c>
      <c r="H205" s="153">
        <f>H206+H209+H213</f>
        <v>1173315</v>
      </c>
      <c r="I205" s="153"/>
      <c r="J205" s="153">
        <f>J206+J209+J213</f>
        <v>0</v>
      </c>
      <c r="K205" s="153">
        <f>K206+K209+K213</f>
        <v>0</v>
      </c>
      <c r="L205" s="223">
        <f>L206+L209+L213</f>
        <v>1173315</v>
      </c>
      <c r="M205" s="223"/>
      <c r="N205" s="223">
        <f>N206+N209+N213</f>
        <v>0</v>
      </c>
      <c r="O205" s="153">
        <f>O206+O209+O213</f>
        <v>1173315</v>
      </c>
      <c r="P205" s="153">
        <f>P206+P209+P213</f>
        <v>17700</v>
      </c>
      <c r="Q205" s="153">
        <f>Q206+Q209+Q213</f>
        <v>-72529.1</v>
      </c>
      <c r="R205" s="153">
        <f>R206+R209+R213</f>
        <v>1118485.9</v>
      </c>
      <c r="S205" s="212"/>
    </row>
    <row r="206" spans="1:19" s="126" customFormat="1" ht="37.5">
      <c r="A206" s="67"/>
      <c r="B206" s="67">
        <v>267</v>
      </c>
      <c r="C206" s="67"/>
      <c r="D206" s="65" t="s">
        <v>241</v>
      </c>
      <c r="E206" s="65" t="s">
        <v>240</v>
      </c>
      <c r="F206" s="121">
        <f>SUM(F207:F208)</f>
        <v>40891</v>
      </c>
      <c r="G206" s="121">
        <f>SUM(G207:G208)</f>
        <v>0</v>
      </c>
      <c r="H206" s="152">
        <f>SUM(H207:H208)</f>
        <v>40891</v>
      </c>
      <c r="I206" s="152"/>
      <c r="J206" s="152">
        <f>SUM(J207:J208)</f>
        <v>0</v>
      </c>
      <c r="K206" s="152">
        <f>SUM(K207:K208)</f>
        <v>0</v>
      </c>
      <c r="L206" s="220">
        <f>SUM(L207:L208)</f>
        <v>40891</v>
      </c>
      <c r="M206" s="220"/>
      <c r="N206" s="220">
        <f>SUM(N207:N208)</f>
        <v>0</v>
      </c>
      <c r="O206" s="152">
        <f>SUM(O207:O208)</f>
        <v>40891</v>
      </c>
      <c r="P206" s="152">
        <f>SUM(P207:P208)</f>
        <v>0</v>
      </c>
      <c r="Q206" s="152">
        <f>SUM(Q207:Q208)</f>
        <v>0</v>
      </c>
      <c r="R206" s="152">
        <f>SUM(R207:R208)</f>
        <v>40891</v>
      </c>
      <c r="S206" s="212"/>
    </row>
    <row r="207" spans="1:19" s="126" customFormat="1" ht="56.25">
      <c r="A207" s="120"/>
      <c r="B207" s="120"/>
      <c r="C207" s="119">
        <v>1</v>
      </c>
      <c r="D207" s="118" t="s">
        <v>239</v>
      </c>
      <c r="E207" s="118" t="s">
        <v>238</v>
      </c>
      <c r="F207" s="117">
        <v>38101</v>
      </c>
      <c r="G207" s="117"/>
      <c r="H207" s="146">
        <f>F207+G207</f>
        <v>38101</v>
      </c>
      <c r="I207" s="146"/>
      <c r="J207" s="146"/>
      <c r="K207" s="146"/>
      <c r="L207" s="154">
        <f>H207+J207</f>
        <v>38101</v>
      </c>
      <c r="M207" s="154"/>
      <c r="N207" s="154"/>
      <c r="O207" s="146">
        <f>L207+N207</f>
        <v>38101</v>
      </c>
      <c r="P207" s="146"/>
      <c r="Q207" s="146"/>
      <c r="R207" s="146">
        <f>O207+P207+Q207</f>
        <v>38101</v>
      </c>
      <c r="S207" s="212"/>
    </row>
    <row r="208" spans="1:19" s="126" customFormat="1" ht="18.75">
      <c r="A208" s="120"/>
      <c r="B208" s="120"/>
      <c r="C208" s="119">
        <v>3</v>
      </c>
      <c r="D208" s="118" t="s">
        <v>219</v>
      </c>
      <c r="E208" s="118" t="s">
        <v>218</v>
      </c>
      <c r="F208" s="117">
        <v>2790</v>
      </c>
      <c r="G208" s="117"/>
      <c r="H208" s="146">
        <f>F208+G208</f>
        <v>2790</v>
      </c>
      <c r="I208" s="146"/>
      <c r="J208" s="146"/>
      <c r="K208" s="146"/>
      <c r="L208" s="154">
        <f>H208+J208</f>
        <v>2790</v>
      </c>
      <c r="M208" s="154"/>
      <c r="N208" s="154"/>
      <c r="O208" s="146">
        <f>L208+N208</f>
        <v>2790</v>
      </c>
      <c r="P208" s="146"/>
      <c r="Q208" s="146"/>
      <c r="R208" s="146">
        <f>O208+P208+Q208</f>
        <v>2790</v>
      </c>
      <c r="S208" s="212"/>
    </row>
    <row r="209" spans="1:19" s="126" customFormat="1" ht="18.75">
      <c r="A209" s="67"/>
      <c r="B209" s="67">
        <v>271</v>
      </c>
      <c r="C209" s="67"/>
      <c r="D209" s="65" t="s">
        <v>179</v>
      </c>
      <c r="E209" s="65" t="s">
        <v>178</v>
      </c>
      <c r="F209" s="121">
        <f>SUM(F210:F212)</f>
        <v>963398</v>
      </c>
      <c r="G209" s="121">
        <f>SUM(G210:G212)</f>
        <v>0</v>
      </c>
      <c r="H209" s="152">
        <f>SUM(H210:H212)</f>
        <v>963398</v>
      </c>
      <c r="I209" s="152"/>
      <c r="J209" s="152">
        <f>SUM(J210:J212)</f>
        <v>0</v>
      </c>
      <c r="K209" s="152">
        <f>SUM(K210:K212)</f>
        <v>0</v>
      </c>
      <c r="L209" s="220">
        <f>SUM(L210:L212)</f>
        <v>963398</v>
      </c>
      <c r="M209" s="220"/>
      <c r="N209" s="220">
        <f>SUM(N210:N212)</f>
        <v>0</v>
      </c>
      <c r="O209" s="152">
        <f>SUM(O210:O212)</f>
        <v>963398</v>
      </c>
      <c r="P209" s="152">
        <f>SUM(P210:P212)</f>
        <v>0</v>
      </c>
      <c r="Q209" s="152">
        <f>SUM(Q210:Q212)</f>
        <v>-70479.1</v>
      </c>
      <c r="R209" s="152">
        <f>SUM(R210:R212)</f>
        <v>892918.9</v>
      </c>
      <c r="S209" s="212"/>
    </row>
    <row r="210" spans="1:19" s="126" customFormat="1" ht="37.5">
      <c r="A210" s="120"/>
      <c r="B210" s="120"/>
      <c r="C210" s="119">
        <v>1</v>
      </c>
      <c r="D210" s="118" t="s">
        <v>237</v>
      </c>
      <c r="E210" s="118" t="s">
        <v>236</v>
      </c>
      <c r="F210" s="117">
        <v>41063</v>
      </c>
      <c r="G210" s="117"/>
      <c r="H210" s="146">
        <f>F210+G210</f>
        <v>41063</v>
      </c>
      <c r="I210" s="146"/>
      <c r="J210" s="146"/>
      <c r="K210" s="146"/>
      <c r="L210" s="154">
        <f>H210+J210</f>
        <v>41063</v>
      </c>
      <c r="M210" s="154"/>
      <c r="N210" s="154"/>
      <c r="O210" s="146">
        <f>L210+N210</f>
        <v>41063</v>
      </c>
      <c r="P210" s="146"/>
      <c r="Q210" s="146"/>
      <c r="R210" s="146">
        <f>O210+P210+Q210</f>
        <v>41063</v>
      </c>
      <c r="S210" s="212"/>
    </row>
    <row r="211" spans="1:19" s="126" customFormat="1" ht="37.5">
      <c r="A211" s="120"/>
      <c r="B211" s="120"/>
      <c r="C211" s="119">
        <v>113</v>
      </c>
      <c r="D211" s="118" t="s">
        <v>217</v>
      </c>
      <c r="E211" s="118" t="s">
        <v>216</v>
      </c>
      <c r="F211" s="117">
        <v>857335</v>
      </c>
      <c r="G211" s="117"/>
      <c r="H211" s="146">
        <f>F211+G211</f>
        <v>857335</v>
      </c>
      <c r="I211" s="146"/>
      <c r="J211" s="146"/>
      <c r="K211" s="146"/>
      <c r="L211" s="154">
        <f>H211+J211</f>
        <v>857335</v>
      </c>
      <c r="M211" s="154"/>
      <c r="N211" s="154"/>
      <c r="O211" s="146">
        <f>L211+N211</f>
        <v>857335</v>
      </c>
      <c r="P211" s="146"/>
      <c r="Q211" s="146">
        <f>-125.2-353.9-70000</f>
        <v>-70479.1</v>
      </c>
      <c r="R211" s="146">
        <f>O211+P211+Q211</f>
        <v>786855.9</v>
      </c>
      <c r="S211" s="253">
        <v>786855.9</v>
      </c>
    </row>
    <row r="212" spans="1:19" s="126" customFormat="1" ht="37.5">
      <c r="A212" s="120"/>
      <c r="B212" s="120"/>
      <c r="C212" s="119">
        <v>114</v>
      </c>
      <c r="D212" s="118" t="s">
        <v>215</v>
      </c>
      <c r="E212" s="118" t="s">
        <v>214</v>
      </c>
      <c r="F212" s="117">
        <v>65000</v>
      </c>
      <c r="G212" s="117"/>
      <c r="H212" s="146">
        <f>F212+G212</f>
        <v>65000</v>
      </c>
      <c r="I212" s="146"/>
      <c r="J212" s="146"/>
      <c r="K212" s="146"/>
      <c r="L212" s="154">
        <f>H212+J212</f>
        <v>65000</v>
      </c>
      <c r="M212" s="154"/>
      <c r="N212" s="154"/>
      <c r="O212" s="146">
        <f>J212+L212</f>
        <v>65000</v>
      </c>
      <c r="P212" s="146"/>
      <c r="Q212" s="146"/>
      <c r="R212" s="146">
        <f>O212+P212+Q212</f>
        <v>65000</v>
      </c>
      <c r="S212" s="253">
        <v>65000</v>
      </c>
    </row>
    <row r="213" spans="1:18" s="126" customFormat="1" ht="28.5" customHeight="1">
      <c r="A213" s="67"/>
      <c r="B213" s="67">
        <v>272</v>
      </c>
      <c r="C213" s="67"/>
      <c r="D213" s="65" t="s">
        <v>235</v>
      </c>
      <c r="E213" s="65" t="s">
        <v>234</v>
      </c>
      <c r="F213" s="121">
        <f>SUM(F214:F217)</f>
        <v>169026</v>
      </c>
      <c r="G213" s="121">
        <f>SUM(G214:G217)</f>
        <v>0</v>
      </c>
      <c r="H213" s="152">
        <f>SUM(H214:H217)</f>
        <v>169026</v>
      </c>
      <c r="I213" s="152"/>
      <c r="J213" s="152">
        <f>SUM(J214:J217)</f>
        <v>0</v>
      </c>
      <c r="K213" s="152">
        <f>SUM(K214:K217)</f>
        <v>0</v>
      </c>
      <c r="L213" s="220">
        <f>SUM(L214:L217)</f>
        <v>169026</v>
      </c>
      <c r="M213" s="220"/>
      <c r="N213" s="220">
        <f>SUM(N214:N217)</f>
        <v>0</v>
      </c>
      <c r="O213" s="152">
        <f>SUM(O214:O217)</f>
        <v>169026</v>
      </c>
      <c r="P213" s="152">
        <f>SUM(P214:P217)</f>
        <v>17700</v>
      </c>
      <c r="Q213" s="152">
        <f>SUM(Q214:Q217)</f>
        <v>-2050</v>
      </c>
      <c r="R213" s="152">
        <f>SUM(R214:R217)</f>
        <v>184676</v>
      </c>
    </row>
    <row r="214" spans="1:19" s="126" customFormat="1" ht="56.25">
      <c r="A214" s="120"/>
      <c r="B214" s="120"/>
      <c r="C214" s="119">
        <v>1</v>
      </c>
      <c r="D214" s="118" t="s">
        <v>233</v>
      </c>
      <c r="E214" s="118" t="s">
        <v>232</v>
      </c>
      <c r="F214" s="117">
        <v>26548</v>
      </c>
      <c r="G214" s="117"/>
      <c r="H214" s="146">
        <f>F214+G214</f>
        <v>26548</v>
      </c>
      <c r="I214" s="146"/>
      <c r="J214" s="146"/>
      <c r="K214" s="146"/>
      <c r="L214" s="154">
        <f>H214+J214</f>
        <v>26548</v>
      </c>
      <c r="M214" s="154"/>
      <c r="N214" s="154"/>
      <c r="O214" s="146">
        <f>L214+N214</f>
        <v>26548</v>
      </c>
      <c r="P214" s="146"/>
      <c r="Q214" s="146"/>
      <c r="R214" s="146">
        <f>O214+P214+Q214</f>
        <v>26548</v>
      </c>
      <c r="S214" s="212"/>
    </row>
    <row r="215" spans="1:19" s="126" customFormat="1" ht="27.75" customHeight="1">
      <c r="A215" s="120"/>
      <c r="B215" s="120"/>
      <c r="C215" s="119">
        <v>4</v>
      </c>
      <c r="D215" s="118" t="s">
        <v>219</v>
      </c>
      <c r="E215" s="118" t="s">
        <v>218</v>
      </c>
      <c r="F215" s="117">
        <v>1509</v>
      </c>
      <c r="G215" s="117"/>
      <c r="H215" s="146">
        <f>F215+G215</f>
        <v>1509</v>
      </c>
      <c r="I215" s="146"/>
      <c r="J215" s="146"/>
      <c r="K215" s="146"/>
      <c r="L215" s="154">
        <f>H215+J215</f>
        <v>1509</v>
      </c>
      <c r="M215" s="154"/>
      <c r="N215" s="154"/>
      <c r="O215" s="146">
        <f>L215+N215</f>
        <v>1509</v>
      </c>
      <c r="P215" s="146"/>
      <c r="Q215" s="146"/>
      <c r="R215" s="146">
        <f>O215+P215+Q215</f>
        <v>1509</v>
      </c>
      <c r="S215" s="212"/>
    </row>
    <row r="216" spans="1:21" s="126" customFormat="1" ht="37.5">
      <c r="A216" s="120"/>
      <c r="B216" s="120"/>
      <c r="C216" s="119">
        <v>113</v>
      </c>
      <c r="D216" s="118" t="s">
        <v>217</v>
      </c>
      <c r="E216" s="118" t="s">
        <v>216</v>
      </c>
      <c r="F216" s="117">
        <v>65000</v>
      </c>
      <c r="G216" s="117"/>
      <c r="H216" s="146">
        <f>F216+G216</f>
        <v>65000</v>
      </c>
      <c r="I216" s="146"/>
      <c r="J216" s="146"/>
      <c r="K216" s="146"/>
      <c r="L216" s="222">
        <f>H216+J216</f>
        <v>65000</v>
      </c>
      <c r="M216" s="222"/>
      <c r="N216" s="154"/>
      <c r="O216" s="146">
        <f>L216+N216</f>
        <v>65000</v>
      </c>
      <c r="P216" s="204">
        <v>17700</v>
      </c>
      <c r="Q216" s="146">
        <f>-2050</f>
        <v>-2050</v>
      </c>
      <c r="R216" s="146">
        <f>O216+P216+Q216</f>
        <v>80650</v>
      </c>
      <c r="S216" s="245">
        <v>80650</v>
      </c>
      <c r="T216" s="245"/>
      <c r="U216" s="245"/>
    </row>
    <row r="217" spans="1:19" s="126" customFormat="1" ht="37.5">
      <c r="A217" s="120"/>
      <c r="B217" s="120"/>
      <c r="C217" s="119">
        <v>114</v>
      </c>
      <c r="D217" s="118" t="s">
        <v>215</v>
      </c>
      <c r="E217" s="118" t="s">
        <v>214</v>
      </c>
      <c r="F217" s="117">
        <v>75969</v>
      </c>
      <c r="G217" s="117"/>
      <c r="H217" s="146">
        <f>F217+G217</f>
        <v>75969</v>
      </c>
      <c r="I217" s="146"/>
      <c r="J217" s="146"/>
      <c r="K217" s="146"/>
      <c r="L217" s="222">
        <f>H217+J217</f>
        <v>75969</v>
      </c>
      <c r="M217" s="222"/>
      <c r="N217" s="154"/>
      <c r="O217" s="146">
        <f>L217+N217</f>
        <v>75969</v>
      </c>
      <c r="P217" s="204"/>
      <c r="Q217" s="146"/>
      <c r="R217" s="146">
        <f>O217+P217+Q217</f>
        <v>75969</v>
      </c>
      <c r="S217" s="146">
        <f>P217+Q217+R217</f>
        <v>75969</v>
      </c>
    </row>
    <row r="218" spans="1:19" s="126" customFormat="1" ht="18.75">
      <c r="A218" s="131">
        <v>12</v>
      </c>
      <c r="B218" s="131"/>
      <c r="C218" s="130"/>
      <c r="D218" s="129" t="s">
        <v>231</v>
      </c>
      <c r="E218" s="129" t="s">
        <v>230</v>
      </c>
      <c r="F218" s="128">
        <f>F219</f>
        <v>2673872</v>
      </c>
      <c r="G218" s="128">
        <f>G219</f>
        <v>3011059</v>
      </c>
      <c r="H218" s="153">
        <f>H219</f>
        <v>5684931</v>
      </c>
      <c r="I218" s="153"/>
      <c r="J218" s="153">
        <f>J219</f>
        <v>20800</v>
      </c>
      <c r="K218" s="153">
        <f>K219</f>
        <v>-18000</v>
      </c>
      <c r="L218" s="223">
        <f>L219</f>
        <v>5687731</v>
      </c>
      <c r="M218" s="223"/>
      <c r="N218" s="223">
        <f>N219</f>
        <v>0</v>
      </c>
      <c r="O218" s="153">
        <f>O219</f>
        <v>5687731</v>
      </c>
      <c r="P218" s="153">
        <f>P219</f>
        <v>36379</v>
      </c>
      <c r="Q218" s="153">
        <f>Q219</f>
        <v>-137185</v>
      </c>
      <c r="R218" s="153">
        <f>R219</f>
        <v>5586925</v>
      </c>
      <c r="S218" s="212"/>
    </row>
    <row r="219" spans="1:19" s="126" customFormat="1" ht="41.25" customHeight="1">
      <c r="A219" s="67"/>
      <c r="B219" s="67">
        <v>268</v>
      </c>
      <c r="C219" s="67"/>
      <c r="D219" s="65" t="s">
        <v>229</v>
      </c>
      <c r="E219" s="65" t="s">
        <v>228</v>
      </c>
      <c r="F219" s="121">
        <f>SUM(F220:F226)</f>
        <v>2673872</v>
      </c>
      <c r="G219" s="121">
        <f>SUM(G220:G226)</f>
        <v>3011059</v>
      </c>
      <c r="H219" s="152">
        <f>SUM(H220:H226)</f>
        <v>5684931</v>
      </c>
      <c r="I219" s="152"/>
      <c r="J219" s="152">
        <f>SUM(J220:J226)</f>
        <v>20800</v>
      </c>
      <c r="K219" s="152">
        <f>SUM(K220:K226)</f>
        <v>-18000</v>
      </c>
      <c r="L219" s="220">
        <f>SUM(L220:L226)</f>
        <v>5687731</v>
      </c>
      <c r="M219" s="220"/>
      <c r="N219" s="220">
        <f>SUM(N220:N226)</f>
        <v>0</v>
      </c>
      <c r="O219" s="152">
        <f>SUM(O220:O226)</f>
        <v>5687731</v>
      </c>
      <c r="P219" s="152">
        <f>SUM(P220:P226)</f>
        <v>36379</v>
      </c>
      <c r="Q219" s="152">
        <f>SUM(Q220:Q226)</f>
        <v>-137185</v>
      </c>
      <c r="R219" s="152">
        <f>SUM(R220:R226)</f>
        <v>5586925</v>
      </c>
      <c r="S219" s="212"/>
    </row>
    <row r="220" spans="1:19" s="126" customFormat="1" ht="56.25">
      <c r="A220" s="120"/>
      <c r="B220" s="120"/>
      <c r="C220" s="119">
        <v>1</v>
      </c>
      <c r="D220" s="118" t="s">
        <v>227</v>
      </c>
      <c r="E220" s="118" t="s">
        <v>226</v>
      </c>
      <c r="F220" s="117">
        <v>37309</v>
      </c>
      <c r="G220" s="117"/>
      <c r="H220" s="146">
        <f aca="true" t="shared" si="34" ref="H220:H226">F220+G220</f>
        <v>37309</v>
      </c>
      <c r="I220" s="146"/>
      <c r="J220" s="146"/>
      <c r="K220" s="146"/>
      <c r="L220" s="154">
        <f>H220+J220+K220</f>
        <v>37309</v>
      </c>
      <c r="M220" s="154"/>
      <c r="N220" s="154"/>
      <c r="O220" s="146">
        <f>L220+N220</f>
        <v>37309</v>
      </c>
      <c r="P220" s="146"/>
      <c r="Q220" s="146"/>
      <c r="R220" s="146">
        <f aca="true" t="shared" si="35" ref="R220:S226">O220+P220+Q220</f>
        <v>37309</v>
      </c>
      <c r="S220" s="212"/>
    </row>
    <row r="221" spans="1:19" s="126" customFormat="1" ht="28.5" customHeight="1">
      <c r="A221" s="120"/>
      <c r="B221" s="120"/>
      <c r="C221" s="119">
        <v>2</v>
      </c>
      <c r="D221" s="118" t="s">
        <v>225</v>
      </c>
      <c r="E221" s="118" t="s">
        <v>224</v>
      </c>
      <c r="F221" s="117"/>
      <c r="G221" s="117">
        <v>760380</v>
      </c>
      <c r="H221" s="146">
        <f t="shared" si="34"/>
        <v>760380</v>
      </c>
      <c r="I221" s="146"/>
      <c r="J221" s="146">
        <v>18000</v>
      </c>
      <c r="K221" s="146"/>
      <c r="L221" s="154">
        <f>H221+J221+K221</f>
        <v>778380</v>
      </c>
      <c r="M221" s="154"/>
      <c r="N221" s="154"/>
      <c r="O221" s="146">
        <f>L221+N221</f>
        <v>778380</v>
      </c>
      <c r="P221" s="146"/>
      <c r="Q221" s="146"/>
      <c r="R221" s="146">
        <f t="shared" si="35"/>
        <v>778380</v>
      </c>
      <c r="S221" s="212"/>
    </row>
    <row r="222" spans="1:19" s="126" customFormat="1" ht="37.5">
      <c r="A222" s="120"/>
      <c r="B222" s="120"/>
      <c r="C222" s="119">
        <v>3</v>
      </c>
      <c r="D222" s="118" t="s">
        <v>223</v>
      </c>
      <c r="E222" s="118" t="s">
        <v>222</v>
      </c>
      <c r="F222" s="117">
        <v>1471078</v>
      </c>
      <c r="G222" s="117">
        <v>1714379</v>
      </c>
      <c r="H222" s="146">
        <f t="shared" si="34"/>
        <v>3185457</v>
      </c>
      <c r="I222" s="146"/>
      <c r="J222" s="146">
        <v>2800</v>
      </c>
      <c r="K222" s="146"/>
      <c r="L222" s="154">
        <f>H222+J222</f>
        <v>3188257</v>
      </c>
      <c r="M222" s="154"/>
      <c r="N222" s="154"/>
      <c r="O222" s="146">
        <f>L222+N222</f>
        <v>3188257</v>
      </c>
      <c r="P222" s="185">
        <f>11429+24950</f>
        <v>36379</v>
      </c>
      <c r="Q222" s="146"/>
      <c r="R222" s="146">
        <f t="shared" si="35"/>
        <v>3224636</v>
      </c>
      <c r="S222" s="212"/>
    </row>
    <row r="223" spans="1:19" s="126" customFormat="1" ht="93.75">
      <c r="A223" s="120"/>
      <c r="B223" s="120"/>
      <c r="C223" s="119">
        <v>8</v>
      </c>
      <c r="D223" s="118" t="s">
        <v>221</v>
      </c>
      <c r="E223" s="118" t="s">
        <v>220</v>
      </c>
      <c r="F223" s="117"/>
      <c r="G223" s="117">
        <v>536300</v>
      </c>
      <c r="H223" s="146">
        <f t="shared" si="34"/>
        <v>536300</v>
      </c>
      <c r="I223" s="146"/>
      <c r="J223" s="146"/>
      <c r="K223" s="146"/>
      <c r="L223" s="154">
        <f>H223+J223</f>
        <v>536300</v>
      </c>
      <c r="M223" s="154"/>
      <c r="N223" s="154"/>
      <c r="O223" s="146">
        <f>L223+N223</f>
        <v>536300</v>
      </c>
      <c r="P223" s="146"/>
      <c r="Q223" s="146"/>
      <c r="R223" s="146">
        <f t="shared" si="35"/>
        <v>536300</v>
      </c>
      <c r="S223" s="212"/>
    </row>
    <row r="224" spans="1:19" s="126" customFormat="1" ht="28.5" customHeight="1">
      <c r="A224" s="120"/>
      <c r="B224" s="120"/>
      <c r="C224" s="119">
        <v>11</v>
      </c>
      <c r="D224" s="118" t="s">
        <v>219</v>
      </c>
      <c r="E224" s="118" t="s">
        <v>218</v>
      </c>
      <c r="F224" s="117">
        <v>3825</v>
      </c>
      <c r="G224" s="117"/>
      <c r="H224" s="146">
        <f t="shared" si="34"/>
        <v>3825</v>
      </c>
      <c r="I224" s="146"/>
      <c r="J224" s="146"/>
      <c r="K224" s="146"/>
      <c r="L224" s="154">
        <f>H224+J224</f>
        <v>3825</v>
      </c>
      <c r="M224" s="154"/>
      <c r="N224" s="154"/>
      <c r="O224" s="146">
        <f>J224+L224</f>
        <v>3825</v>
      </c>
      <c r="P224" s="146"/>
      <c r="Q224" s="146"/>
      <c r="R224" s="146">
        <f t="shared" si="35"/>
        <v>3825</v>
      </c>
      <c r="S224" s="212"/>
    </row>
    <row r="225" spans="1:19" s="126" customFormat="1" ht="37.5">
      <c r="A225" s="120"/>
      <c r="B225" s="120"/>
      <c r="C225" s="119">
        <v>113</v>
      </c>
      <c r="D225" s="118" t="s">
        <v>217</v>
      </c>
      <c r="E225" s="118" t="s">
        <v>216</v>
      </c>
      <c r="F225" s="117">
        <v>1083500</v>
      </c>
      <c r="G225" s="117"/>
      <c r="H225" s="146">
        <f t="shared" si="34"/>
        <v>1083500</v>
      </c>
      <c r="I225" s="146"/>
      <c r="J225" s="146"/>
      <c r="K225" s="146"/>
      <c r="L225" s="154">
        <f>H225+J225+K225</f>
        <v>1083500</v>
      </c>
      <c r="M225" s="154"/>
      <c r="N225" s="154"/>
      <c r="O225" s="146">
        <f>J225+L225+N225</f>
        <v>1083500</v>
      </c>
      <c r="P225" s="146"/>
      <c r="Q225" s="146">
        <f>-2185-135000</f>
        <v>-137185</v>
      </c>
      <c r="R225" s="146">
        <f t="shared" si="35"/>
        <v>946315</v>
      </c>
      <c r="S225" s="253">
        <v>946315</v>
      </c>
    </row>
    <row r="226" spans="1:19" s="126" customFormat="1" ht="37.5">
      <c r="A226" s="120"/>
      <c r="B226" s="120"/>
      <c r="C226" s="119">
        <v>114</v>
      </c>
      <c r="D226" s="118" t="s">
        <v>215</v>
      </c>
      <c r="E226" s="118" t="s">
        <v>214</v>
      </c>
      <c r="F226" s="117">
        <v>78160</v>
      </c>
      <c r="G226" s="117"/>
      <c r="H226" s="146">
        <f t="shared" si="34"/>
        <v>78160</v>
      </c>
      <c r="I226" s="146"/>
      <c r="J226" s="146"/>
      <c r="K226" s="146">
        <v>-18000</v>
      </c>
      <c r="L226" s="154">
        <f>H226+J226+K226</f>
        <v>60160</v>
      </c>
      <c r="M226" s="154"/>
      <c r="N226" s="154"/>
      <c r="O226" s="146">
        <f>J226+L226+N226</f>
        <v>60160</v>
      </c>
      <c r="P226" s="146"/>
      <c r="Q226" s="146"/>
      <c r="R226" s="146">
        <f t="shared" si="35"/>
        <v>60160</v>
      </c>
      <c r="S226" s="146">
        <f t="shared" si="35"/>
        <v>60160</v>
      </c>
    </row>
    <row r="227" spans="1:19" s="126" customFormat="1" ht="27" customHeight="1">
      <c r="A227" s="131">
        <v>13</v>
      </c>
      <c r="B227" s="131"/>
      <c r="C227" s="130"/>
      <c r="D227" s="129" t="s">
        <v>157</v>
      </c>
      <c r="E227" s="129" t="s">
        <v>156</v>
      </c>
      <c r="F227" s="128">
        <f>F228+F230+F232+F234+F236+F242+F244</f>
        <v>293475</v>
      </c>
      <c r="G227" s="128">
        <f>G228+G230+G232+G234+G236+G242+G244</f>
        <v>1975886</v>
      </c>
      <c r="H227" s="153">
        <f>H228+H230+H232+H234+H236+H242+H244</f>
        <v>2269361</v>
      </c>
      <c r="I227" s="153"/>
      <c r="J227" s="153">
        <f>J228+J230+J232+J234+J236+J242+J244</f>
        <v>92301.4</v>
      </c>
      <c r="K227" s="153">
        <f>K228+K230+K232+K234+K236+K242+K244</f>
        <v>-729863</v>
      </c>
      <c r="L227" s="223">
        <f>L228+L230+L232+L234+L236+L242+L244</f>
        <v>1631799.4</v>
      </c>
      <c r="M227" s="223"/>
      <c r="N227" s="223">
        <f>N228+N230+N232+N234+N236+N242+N244</f>
        <v>-100000</v>
      </c>
      <c r="O227" s="153">
        <f>O228+O230+O232+O234+O236+O242+O244</f>
        <v>1531799.4</v>
      </c>
      <c r="P227" s="153">
        <f>P228+P230+P232+P234+P236+P242+P244</f>
        <v>46610.1</v>
      </c>
      <c r="Q227" s="153">
        <f>Q228+Q230+Q232+Q234+Q236+Q242+Q244</f>
        <v>-19882.1</v>
      </c>
      <c r="R227" s="153">
        <f>R228+R230+R232+R234+R236+R242+R244</f>
        <v>1558527.4</v>
      </c>
      <c r="S227" s="212"/>
    </row>
    <row r="228" spans="1:19" s="126" customFormat="1" ht="44.25" customHeight="1">
      <c r="A228" s="67"/>
      <c r="B228" s="67">
        <v>256</v>
      </c>
      <c r="C228" s="67"/>
      <c r="D228" s="65" t="s">
        <v>213</v>
      </c>
      <c r="E228" s="65" t="s">
        <v>212</v>
      </c>
      <c r="F228" s="121">
        <f>F229</f>
        <v>0</v>
      </c>
      <c r="G228" s="121">
        <f>G229</f>
        <v>2808</v>
      </c>
      <c r="H228" s="152">
        <f>H229</f>
        <v>2808</v>
      </c>
      <c r="I228" s="152"/>
      <c r="J228" s="152">
        <f>J229</f>
        <v>0</v>
      </c>
      <c r="K228" s="152">
        <f>K229</f>
        <v>0</v>
      </c>
      <c r="L228" s="221">
        <f>L229</f>
        <v>2808</v>
      </c>
      <c r="M228" s="221"/>
      <c r="N228" s="220">
        <f>N229</f>
        <v>0</v>
      </c>
      <c r="O228" s="206">
        <f>O229</f>
        <v>2808</v>
      </c>
      <c r="P228" s="206">
        <f>P229</f>
        <v>0</v>
      </c>
      <c r="Q228" s="206">
        <f>Q229</f>
        <v>0</v>
      </c>
      <c r="R228" s="206">
        <f>R229</f>
        <v>2808</v>
      </c>
      <c r="S228" s="212"/>
    </row>
    <row r="229" spans="1:19" s="126" customFormat="1" ht="93.75">
      <c r="A229" s="120"/>
      <c r="B229" s="120"/>
      <c r="C229" s="119">
        <v>9</v>
      </c>
      <c r="D229" s="118" t="s">
        <v>211</v>
      </c>
      <c r="E229" s="118" t="s">
        <v>210</v>
      </c>
      <c r="F229" s="117"/>
      <c r="G229" s="117">
        <v>2808</v>
      </c>
      <c r="H229" s="146">
        <f>F229+G229</f>
        <v>2808</v>
      </c>
      <c r="I229" s="146"/>
      <c r="J229" s="146"/>
      <c r="K229" s="146"/>
      <c r="L229" s="222">
        <f>H229+J229</f>
        <v>2808</v>
      </c>
      <c r="M229" s="222"/>
      <c r="N229" s="154"/>
      <c r="O229" s="146">
        <f>L229+N229</f>
        <v>2808</v>
      </c>
      <c r="P229" s="204"/>
      <c r="Q229" s="146"/>
      <c r="R229" s="146">
        <f aca="true" t="shared" si="36" ref="R229:R245">O229+P229+Q229</f>
        <v>2808</v>
      </c>
      <c r="S229" s="212"/>
    </row>
    <row r="230" spans="1:19" s="126" customFormat="1" ht="24.75" customHeight="1">
      <c r="A230" s="67"/>
      <c r="B230" s="67">
        <v>257</v>
      </c>
      <c r="C230" s="67"/>
      <c r="D230" s="65" t="s">
        <v>137</v>
      </c>
      <c r="E230" s="65" t="s">
        <v>136</v>
      </c>
      <c r="F230" s="121">
        <f>SUM(F231:F231)</f>
        <v>176742</v>
      </c>
      <c r="G230" s="121">
        <f>SUM(G231:G231)</f>
        <v>0</v>
      </c>
      <c r="H230" s="152">
        <f>SUM(H231:H231)</f>
        <v>176742</v>
      </c>
      <c r="I230" s="152"/>
      <c r="J230" s="152">
        <f>SUM(J231:J231)</f>
        <v>0</v>
      </c>
      <c r="K230" s="152">
        <f>SUM(K231:K231)</f>
        <v>0</v>
      </c>
      <c r="L230" s="220">
        <f>SUM(L231:L231)</f>
        <v>176742</v>
      </c>
      <c r="M230" s="220"/>
      <c r="N230" s="220">
        <f>SUM(N231:N231)</f>
        <v>-100000</v>
      </c>
      <c r="O230" s="152">
        <f>O231</f>
        <v>76742</v>
      </c>
      <c r="P230" s="152">
        <f>P231</f>
        <v>36410.1</v>
      </c>
      <c r="Q230" s="152">
        <f>Q231</f>
        <v>0</v>
      </c>
      <c r="R230" s="152">
        <f>R231</f>
        <v>113152.1</v>
      </c>
      <c r="S230" s="212"/>
    </row>
    <row r="231" spans="1:19" s="126" customFormat="1" ht="24.75" customHeight="1">
      <c r="A231" s="120"/>
      <c r="B231" s="120"/>
      <c r="C231" s="119">
        <v>12</v>
      </c>
      <c r="D231" s="118" t="s">
        <v>209</v>
      </c>
      <c r="E231" s="118" t="s">
        <v>208</v>
      </c>
      <c r="F231" s="117">
        <v>176742</v>
      </c>
      <c r="G231" s="117"/>
      <c r="H231" s="146">
        <f>F231+G231</f>
        <v>176742</v>
      </c>
      <c r="I231" s="146"/>
      <c r="J231" s="146"/>
      <c r="K231" s="146"/>
      <c r="L231" s="154">
        <f>H231+J231</f>
        <v>176742</v>
      </c>
      <c r="M231" s="154"/>
      <c r="N231" s="154">
        <v>-100000</v>
      </c>
      <c r="O231" s="146">
        <f>L231+M231+N231</f>
        <v>76742</v>
      </c>
      <c r="P231" s="146">
        <f>50000-14069.9+480</f>
        <v>36410.1</v>
      </c>
      <c r="Q231" s="146"/>
      <c r="R231" s="185">
        <f t="shared" si="36"/>
        <v>113152.1</v>
      </c>
      <c r="S231" s="212"/>
    </row>
    <row r="232" spans="1:19" s="126" customFormat="1" ht="37.5">
      <c r="A232" s="67"/>
      <c r="B232" s="67">
        <v>258</v>
      </c>
      <c r="C232" s="67"/>
      <c r="D232" s="65" t="s">
        <v>173</v>
      </c>
      <c r="E232" s="65" t="s">
        <v>172</v>
      </c>
      <c r="F232" s="121">
        <f>F233</f>
        <v>35000</v>
      </c>
      <c r="G232" s="121">
        <f>G233</f>
        <v>0</v>
      </c>
      <c r="H232" s="152">
        <f>H233</f>
        <v>35000</v>
      </c>
      <c r="I232" s="152"/>
      <c r="J232" s="152">
        <f>J233</f>
        <v>0</v>
      </c>
      <c r="K232" s="152">
        <f>K233</f>
        <v>0</v>
      </c>
      <c r="L232" s="220">
        <f>L233</f>
        <v>35000</v>
      </c>
      <c r="M232" s="220"/>
      <c r="N232" s="220">
        <f>N233</f>
        <v>0</v>
      </c>
      <c r="O232" s="152">
        <f>O233</f>
        <v>35000</v>
      </c>
      <c r="P232" s="152"/>
      <c r="Q232" s="152">
        <f>Q233</f>
        <v>-2882.1</v>
      </c>
      <c r="R232" s="152">
        <f>R233</f>
        <v>32117.9</v>
      </c>
      <c r="S232" s="212"/>
    </row>
    <row r="233" spans="1:19" s="126" customFormat="1" ht="96.75" customHeight="1">
      <c r="A233" s="120"/>
      <c r="B233" s="120"/>
      <c r="C233" s="119">
        <v>3</v>
      </c>
      <c r="D233" s="118" t="s">
        <v>207</v>
      </c>
      <c r="E233" s="118" t="s">
        <v>206</v>
      </c>
      <c r="F233" s="117">
        <v>35000</v>
      </c>
      <c r="G233" s="117"/>
      <c r="H233" s="146">
        <f>F233+G233</f>
        <v>35000</v>
      </c>
      <c r="I233" s="146"/>
      <c r="J233" s="146"/>
      <c r="K233" s="146"/>
      <c r="L233" s="154">
        <f>H233+J233</f>
        <v>35000</v>
      </c>
      <c r="M233" s="154"/>
      <c r="N233" s="154"/>
      <c r="O233" s="146">
        <f>L233+N233</f>
        <v>35000</v>
      </c>
      <c r="P233" s="146"/>
      <c r="Q233" s="146">
        <f>-2882.1</f>
        <v>-2882.1</v>
      </c>
      <c r="R233" s="146">
        <f t="shared" si="36"/>
        <v>32117.9</v>
      </c>
      <c r="S233" s="212"/>
    </row>
    <row r="234" spans="1:19" s="126" customFormat="1" ht="25.5" customHeight="1">
      <c r="A234" s="67"/>
      <c r="B234" s="67">
        <v>261</v>
      </c>
      <c r="C234" s="67"/>
      <c r="D234" s="65" t="s">
        <v>205</v>
      </c>
      <c r="E234" s="65" t="s">
        <v>204</v>
      </c>
      <c r="F234" s="121">
        <f>F235</f>
        <v>0</v>
      </c>
      <c r="G234" s="121">
        <f>G235</f>
        <v>270741</v>
      </c>
      <c r="H234" s="152">
        <f>H235</f>
        <v>270741</v>
      </c>
      <c r="I234" s="152"/>
      <c r="J234" s="152">
        <f>J235</f>
        <v>0</v>
      </c>
      <c r="K234" s="152">
        <f>K235</f>
        <v>-270741</v>
      </c>
      <c r="L234" s="220">
        <f>L235</f>
        <v>0</v>
      </c>
      <c r="M234" s="220"/>
      <c r="N234" s="220">
        <f>N235</f>
        <v>0</v>
      </c>
      <c r="O234" s="146">
        <f>O235</f>
        <v>0</v>
      </c>
      <c r="P234" s="146">
        <f>P235</f>
        <v>0</v>
      </c>
      <c r="Q234" s="146">
        <f>Q235</f>
        <v>0</v>
      </c>
      <c r="R234" s="146">
        <f>R235</f>
        <v>0</v>
      </c>
      <c r="S234" s="212"/>
    </row>
    <row r="235" spans="1:19" s="126" customFormat="1" ht="39.75" customHeight="1">
      <c r="A235" s="120"/>
      <c r="B235" s="120"/>
      <c r="C235" s="119">
        <v>44</v>
      </c>
      <c r="D235" s="118" t="s">
        <v>201</v>
      </c>
      <c r="E235" s="118" t="s">
        <v>200</v>
      </c>
      <c r="F235" s="117"/>
      <c r="G235" s="117">
        <v>270741</v>
      </c>
      <c r="H235" s="146">
        <f>F235+G235</f>
        <v>270741</v>
      </c>
      <c r="I235" s="146"/>
      <c r="J235" s="146"/>
      <c r="K235" s="146">
        <v>-270741</v>
      </c>
      <c r="L235" s="154">
        <f>H235+J235+K235</f>
        <v>0</v>
      </c>
      <c r="M235" s="154"/>
      <c r="N235" s="154"/>
      <c r="O235" s="146">
        <f>J235+L235+N235</f>
        <v>0</v>
      </c>
      <c r="P235" s="146"/>
      <c r="Q235" s="146"/>
      <c r="R235" s="146">
        <f t="shared" si="36"/>
        <v>0</v>
      </c>
      <c r="S235" s="212"/>
    </row>
    <row r="236" spans="1:19" s="126" customFormat="1" ht="41.25" customHeight="1">
      <c r="A236" s="67"/>
      <c r="B236" s="67">
        <v>265</v>
      </c>
      <c r="C236" s="67"/>
      <c r="D236" s="65" t="s">
        <v>169</v>
      </c>
      <c r="E236" s="65" t="s">
        <v>168</v>
      </c>
      <c r="F236" s="121">
        <f>SUM(F237:F241)</f>
        <v>81733</v>
      </c>
      <c r="G236" s="121">
        <f>SUM(G237:G241)</f>
        <v>987217</v>
      </c>
      <c r="H236" s="152">
        <f>SUM(H237:H241)</f>
        <v>1068950</v>
      </c>
      <c r="I236" s="152"/>
      <c r="J236" s="152">
        <f>SUM(J237:J241)</f>
        <v>90000</v>
      </c>
      <c r="K236" s="152">
        <f>SUM(K237:K241)</f>
        <v>-459122</v>
      </c>
      <c r="L236" s="220">
        <f>SUM(L237:L241)</f>
        <v>699828</v>
      </c>
      <c r="M236" s="220"/>
      <c r="N236" s="220">
        <f>SUM(N237:N241)</f>
        <v>0</v>
      </c>
      <c r="O236" s="152">
        <f>SUM(O237:O241)</f>
        <v>699828</v>
      </c>
      <c r="P236" s="152">
        <f>SUM(P237:P241)</f>
        <v>10000</v>
      </c>
      <c r="Q236" s="152">
        <f>SUM(Q237:Q241)</f>
        <v>-17000</v>
      </c>
      <c r="R236" s="152">
        <f>SUM(R237:R241)</f>
        <v>692828</v>
      </c>
      <c r="S236" s="212"/>
    </row>
    <row r="237" spans="1:19" s="126" customFormat="1" ht="56.25">
      <c r="A237" s="120"/>
      <c r="B237" s="120"/>
      <c r="C237" s="119">
        <v>1</v>
      </c>
      <c r="D237" s="118" t="s">
        <v>203</v>
      </c>
      <c r="E237" s="118" t="s">
        <v>202</v>
      </c>
      <c r="F237" s="117">
        <v>81733</v>
      </c>
      <c r="G237" s="117"/>
      <c r="H237" s="146">
        <f>F237+G237</f>
        <v>81733</v>
      </c>
      <c r="I237" s="146"/>
      <c r="J237" s="146"/>
      <c r="K237" s="146"/>
      <c r="L237" s="154">
        <f>H237+J237+K237</f>
        <v>81733</v>
      </c>
      <c r="M237" s="154"/>
      <c r="N237" s="154"/>
      <c r="O237" s="146">
        <f>L237+N237</f>
        <v>81733</v>
      </c>
      <c r="P237" s="146"/>
      <c r="Q237" s="146">
        <f>-7000</f>
        <v>-7000</v>
      </c>
      <c r="R237" s="146">
        <f t="shared" si="36"/>
        <v>74733</v>
      </c>
      <c r="S237" s="212"/>
    </row>
    <row r="238" spans="1:19" s="126" customFormat="1" ht="43.5" customHeight="1">
      <c r="A238" s="120"/>
      <c r="B238" s="120"/>
      <c r="C238" s="119">
        <v>4</v>
      </c>
      <c r="D238" s="118" t="s">
        <v>201</v>
      </c>
      <c r="E238" s="118" t="s">
        <v>200</v>
      </c>
      <c r="F238" s="117"/>
      <c r="G238" s="117">
        <v>46000</v>
      </c>
      <c r="H238" s="146">
        <f>F238+G238</f>
        <v>46000</v>
      </c>
      <c r="I238" s="146"/>
      <c r="J238" s="146"/>
      <c r="K238" s="146">
        <v>-29100</v>
      </c>
      <c r="L238" s="154">
        <f>H238+J238+K238</f>
        <v>16900</v>
      </c>
      <c r="M238" s="154"/>
      <c r="N238" s="154"/>
      <c r="O238" s="146">
        <f>L238+N238</f>
        <v>16900</v>
      </c>
      <c r="P238" s="146"/>
      <c r="Q238" s="146">
        <f>-10000</f>
        <v>-10000</v>
      </c>
      <c r="R238" s="146">
        <f t="shared" si="36"/>
        <v>6900</v>
      </c>
      <c r="S238" s="212"/>
    </row>
    <row r="239" spans="1:19" s="126" customFormat="1" ht="56.25">
      <c r="A239" s="187"/>
      <c r="B239" s="187"/>
      <c r="C239" s="188">
        <v>14</v>
      </c>
      <c r="D239" s="189" t="s">
        <v>199</v>
      </c>
      <c r="E239" s="189" t="s">
        <v>198</v>
      </c>
      <c r="F239" s="190"/>
      <c r="G239" s="190">
        <v>822219</v>
      </c>
      <c r="H239" s="185">
        <f>F239+G239</f>
        <v>822219</v>
      </c>
      <c r="I239" s="185"/>
      <c r="J239" s="185"/>
      <c r="K239" s="185">
        <v>-430022</v>
      </c>
      <c r="L239" s="154">
        <f>H239+J239+K239</f>
        <v>392197</v>
      </c>
      <c r="M239" s="154"/>
      <c r="N239" s="154"/>
      <c r="O239" s="146">
        <f>L239+N239</f>
        <v>392197</v>
      </c>
      <c r="P239" s="185">
        <v>10000</v>
      </c>
      <c r="Q239" s="185"/>
      <c r="R239" s="146">
        <f t="shared" si="36"/>
        <v>402197</v>
      </c>
      <c r="S239" s="212"/>
    </row>
    <row r="240" spans="1:19" s="126" customFormat="1" ht="58.5" customHeight="1">
      <c r="A240" s="187"/>
      <c r="B240" s="187"/>
      <c r="C240" s="188">
        <v>15</v>
      </c>
      <c r="D240" s="189" t="s">
        <v>197</v>
      </c>
      <c r="E240" s="189" t="s">
        <v>196</v>
      </c>
      <c r="F240" s="190"/>
      <c r="G240" s="190">
        <v>83946</v>
      </c>
      <c r="H240" s="185">
        <f>F240+G240</f>
        <v>83946</v>
      </c>
      <c r="I240" s="185"/>
      <c r="J240" s="185"/>
      <c r="K240" s="185"/>
      <c r="L240" s="222">
        <f>H240+J240</f>
        <v>83946</v>
      </c>
      <c r="M240" s="222"/>
      <c r="N240" s="154"/>
      <c r="O240" s="146">
        <f>L240+N240</f>
        <v>83946</v>
      </c>
      <c r="P240" s="205"/>
      <c r="Q240" s="185"/>
      <c r="R240" s="146">
        <f t="shared" si="36"/>
        <v>83946</v>
      </c>
      <c r="S240" s="212"/>
    </row>
    <row r="241" spans="1:19" s="126" customFormat="1" ht="56.25">
      <c r="A241" s="187"/>
      <c r="B241" s="187"/>
      <c r="C241" s="188">
        <v>16</v>
      </c>
      <c r="D241" s="189" t="s">
        <v>195</v>
      </c>
      <c r="E241" s="189" t="s">
        <v>194</v>
      </c>
      <c r="F241" s="190"/>
      <c r="G241" s="190">
        <v>35052</v>
      </c>
      <c r="H241" s="185">
        <f>F241+G241</f>
        <v>35052</v>
      </c>
      <c r="I241" s="185"/>
      <c r="J241" s="185">
        <v>90000</v>
      </c>
      <c r="K241" s="185"/>
      <c r="L241" s="222">
        <f>H241+J241</f>
        <v>125052</v>
      </c>
      <c r="M241" s="222"/>
      <c r="N241" s="154"/>
      <c r="O241" s="146">
        <f>L241+N241</f>
        <v>125052</v>
      </c>
      <c r="P241" s="205"/>
      <c r="Q241" s="185"/>
      <c r="R241" s="146">
        <f t="shared" si="36"/>
        <v>125052</v>
      </c>
      <c r="S241" s="212"/>
    </row>
    <row r="242" spans="1:19" s="126" customFormat="1" ht="24.75" customHeight="1">
      <c r="A242" s="67"/>
      <c r="B242" s="67">
        <v>271</v>
      </c>
      <c r="C242" s="67"/>
      <c r="D242" s="65" t="s">
        <v>179</v>
      </c>
      <c r="E242" s="65" t="s">
        <v>178</v>
      </c>
      <c r="F242" s="121">
        <f>F243</f>
        <v>0</v>
      </c>
      <c r="G242" s="121">
        <f>G243</f>
        <v>240000</v>
      </c>
      <c r="H242" s="152">
        <f>H243</f>
        <v>240000</v>
      </c>
      <c r="I242" s="152"/>
      <c r="J242" s="152">
        <f>J243</f>
        <v>2301.4</v>
      </c>
      <c r="K242" s="152">
        <f>K243</f>
        <v>0</v>
      </c>
      <c r="L242" s="220">
        <f>L243</f>
        <v>242301.4</v>
      </c>
      <c r="M242" s="220"/>
      <c r="N242" s="220">
        <f>N243</f>
        <v>0</v>
      </c>
      <c r="O242" s="152">
        <f>O243</f>
        <v>242301.4</v>
      </c>
      <c r="P242" s="152">
        <f>P243</f>
        <v>200</v>
      </c>
      <c r="Q242" s="152">
        <f>Q243</f>
        <v>0</v>
      </c>
      <c r="R242" s="152">
        <f>R243</f>
        <v>242501.4</v>
      </c>
      <c r="S242" s="212"/>
    </row>
    <row r="243" spans="1:19" s="126" customFormat="1" ht="43.5" customHeight="1">
      <c r="A243" s="120"/>
      <c r="B243" s="120"/>
      <c r="C243" s="119">
        <v>51</v>
      </c>
      <c r="D243" s="118" t="s">
        <v>191</v>
      </c>
      <c r="E243" s="118" t="s">
        <v>190</v>
      </c>
      <c r="F243" s="117"/>
      <c r="G243" s="117">
        <v>240000</v>
      </c>
      <c r="H243" s="146">
        <f>F243+G243</f>
        <v>240000</v>
      </c>
      <c r="I243" s="146"/>
      <c r="J243" s="146">
        <v>2301.4</v>
      </c>
      <c r="K243" s="146"/>
      <c r="L243" s="154">
        <f>H243+J243</f>
        <v>242301.4</v>
      </c>
      <c r="M243" s="154"/>
      <c r="N243" s="154"/>
      <c r="O243" s="146">
        <f>L243+N243</f>
        <v>242301.4</v>
      </c>
      <c r="P243" s="146">
        <v>200</v>
      </c>
      <c r="Q243" s="146"/>
      <c r="R243" s="146">
        <f t="shared" si="36"/>
        <v>242501.4</v>
      </c>
      <c r="S243" s="212"/>
    </row>
    <row r="244" spans="1:19" s="126" customFormat="1" ht="37.5">
      <c r="A244" s="67"/>
      <c r="B244" s="67">
        <v>279</v>
      </c>
      <c r="C244" s="67"/>
      <c r="D244" s="65" t="s">
        <v>193</v>
      </c>
      <c r="E244" s="65" t="s">
        <v>192</v>
      </c>
      <c r="F244" s="121">
        <f>F245</f>
        <v>0</v>
      </c>
      <c r="G244" s="121">
        <f>G245</f>
        <v>475120</v>
      </c>
      <c r="H244" s="152">
        <f>H245</f>
        <v>475120</v>
      </c>
      <c r="I244" s="152"/>
      <c r="J244" s="152">
        <f>J245</f>
        <v>0</v>
      </c>
      <c r="K244" s="152">
        <f>K245</f>
        <v>0</v>
      </c>
      <c r="L244" s="220">
        <f>L245</f>
        <v>475120</v>
      </c>
      <c r="M244" s="220"/>
      <c r="N244" s="220">
        <f>N245</f>
        <v>0</v>
      </c>
      <c r="O244" s="152">
        <f>O245</f>
        <v>475120</v>
      </c>
      <c r="P244" s="152">
        <f>P245</f>
        <v>0</v>
      </c>
      <c r="Q244" s="152">
        <f>Q245</f>
        <v>0</v>
      </c>
      <c r="R244" s="152">
        <f>R245</f>
        <v>475120</v>
      </c>
      <c r="S244" s="212"/>
    </row>
    <row r="245" spans="1:19" s="126" customFormat="1" ht="41.25" customHeight="1">
      <c r="A245" s="120"/>
      <c r="B245" s="120"/>
      <c r="C245" s="119">
        <v>24</v>
      </c>
      <c r="D245" s="118" t="s">
        <v>191</v>
      </c>
      <c r="E245" s="118" t="s">
        <v>190</v>
      </c>
      <c r="F245" s="117"/>
      <c r="G245" s="117">
        <v>475120</v>
      </c>
      <c r="H245" s="146">
        <f>F245+G245</f>
        <v>475120</v>
      </c>
      <c r="I245" s="146"/>
      <c r="J245" s="146"/>
      <c r="K245" s="146"/>
      <c r="L245" s="154">
        <f>H245+J245</f>
        <v>475120</v>
      </c>
      <c r="M245" s="154"/>
      <c r="N245" s="154"/>
      <c r="O245" s="146">
        <f>L245+N245</f>
        <v>475120</v>
      </c>
      <c r="P245" s="146"/>
      <c r="Q245" s="146"/>
      <c r="R245" s="146">
        <f t="shared" si="36"/>
        <v>475120</v>
      </c>
      <c r="S245" s="212"/>
    </row>
    <row r="246" spans="1:19" ht="24.75" customHeight="1" outlineLevel="1">
      <c r="A246" s="70" t="s">
        <v>54</v>
      </c>
      <c r="B246" s="71"/>
      <c r="C246" s="70"/>
      <c r="D246" s="69" t="s">
        <v>586</v>
      </c>
      <c r="E246" s="69" t="s">
        <v>581</v>
      </c>
      <c r="F246" s="68"/>
      <c r="G246" s="68"/>
      <c r="H246" s="162"/>
      <c r="I246" s="162"/>
      <c r="J246" s="162"/>
      <c r="K246" s="162"/>
      <c r="L246" s="235"/>
      <c r="M246" s="235"/>
      <c r="N246" s="235"/>
      <c r="O246" s="162">
        <f>O247</f>
        <v>0</v>
      </c>
      <c r="P246" s="162">
        <f aca="true" t="shared" si="37" ref="P246:R247">P247</f>
        <v>48.7</v>
      </c>
      <c r="Q246" s="162">
        <f t="shared" si="37"/>
        <v>0</v>
      </c>
      <c r="R246" s="162">
        <f t="shared" si="37"/>
        <v>48.7</v>
      </c>
      <c r="S246" s="212"/>
    </row>
    <row r="247" spans="1:19" ht="24.75" customHeight="1" outlineLevel="1">
      <c r="A247" s="67"/>
      <c r="B247" s="67">
        <v>257</v>
      </c>
      <c r="C247" s="67"/>
      <c r="D247" s="65" t="s">
        <v>137</v>
      </c>
      <c r="E247" s="66" t="s">
        <v>136</v>
      </c>
      <c r="F247" s="65"/>
      <c r="G247" s="65"/>
      <c r="H247" s="158"/>
      <c r="I247" s="158"/>
      <c r="J247" s="158"/>
      <c r="K247" s="158"/>
      <c r="L247" s="224"/>
      <c r="M247" s="224"/>
      <c r="N247" s="224"/>
      <c r="O247" s="158">
        <f>O248</f>
        <v>0</v>
      </c>
      <c r="P247" s="158">
        <f t="shared" si="37"/>
        <v>48.7</v>
      </c>
      <c r="Q247" s="158">
        <f t="shared" si="37"/>
        <v>0</v>
      </c>
      <c r="R247" s="158">
        <f t="shared" si="37"/>
        <v>48.7</v>
      </c>
      <c r="S247" s="212"/>
    </row>
    <row r="248" spans="1:19" ht="65.25" customHeight="1" outlineLevel="1">
      <c r="A248" s="63"/>
      <c r="B248" s="63"/>
      <c r="C248" s="82" t="s">
        <v>579</v>
      </c>
      <c r="D248" s="62" t="s">
        <v>582</v>
      </c>
      <c r="E248" s="62" t="s">
        <v>580</v>
      </c>
      <c r="F248" s="61"/>
      <c r="G248" s="61"/>
      <c r="H248" s="146"/>
      <c r="I248" s="146"/>
      <c r="J248" s="146"/>
      <c r="K248" s="146"/>
      <c r="L248" s="154"/>
      <c r="M248" s="154"/>
      <c r="N248" s="154"/>
      <c r="O248" s="146"/>
      <c r="P248" s="146">
        <v>48.7</v>
      </c>
      <c r="Q248" s="146"/>
      <c r="R248" s="146">
        <f>O248+P248+Q248</f>
        <v>48.7</v>
      </c>
      <c r="S248" s="212"/>
    </row>
    <row r="249" spans="1:19" s="126" customFormat="1" ht="30.75" customHeight="1">
      <c r="A249" s="131">
        <v>15</v>
      </c>
      <c r="B249" s="131"/>
      <c r="C249" s="130"/>
      <c r="D249" s="129" t="s">
        <v>189</v>
      </c>
      <c r="E249" s="129" t="s">
        <v>188</v>
      </c>
      <c r="F249" s="128">
        <f>F250</f>
        <v>18916511</v>
      </c>
      <c r="G249" s="128">
        <f>G250</f>
        <v>0</v>
      </c>
      <c r="H249" s="153">
        <f>H250</f>
        <v>18916511</v>
      </c>
      <c r="I249" s="153"/>
      <c r="J249" s="153">
        <f aca="true" t="shared" si="38" ref="J249:R249">J250</f>
        <v>1402981.1</v>
      </c>
      <c r="K249" s="153">
        <f t="shared" si="38"/>
        <v>0</v>
      </c>
      <c r="L249" s="223">
        <f t="shared" si="38"/>
        <v>20319492.1</v>
      </c>
      <c r="M249" s="223">
        <f t="shared" si="38"/>
        <v>444870</v>
      </c>
      <c r="N249" s="223">
        <f t="shared" si="38"/>
        <v>0</v>
      </c>
      <c r="O249" s="153">
        <f t="shared" si="38"/>
        <v>20764362.1</v>
      </c>
      <c r="P249" s="153">
        <f t="shared" si="38"/>
        <v>4081.4</v>
      </c>
      <c r="Q249" s="153">
        <f t="shared" si="38"/>
        <v>0</v>
      </c>
      <c r="R249" s="153">
        <f t="shared" si="38"/>
        <v>20768443.5</v>
      </c>
      <c r="S249" s="212"/>
    </row>
    <row r="250" spans="1:19" s="126" customFormat="1" ht="24.75" customHeight="1">
      <c r="A250" s="67"/>
      <c r="B250" s="67">
        <v>257</v>
      </c>
      <c r="C250" s="67"/>
      <c r="D250" s="65" t="s">
        <v>137</v>
      </c>
      <c r="E250" s="65" t="s">
        <v>136</v>
      </c>
      <c r="F250" s="121">
        <f>SUM(F251:F253)</f>
        <v>18916511</v>
      </c>
      <c r="G250" s="121">
        <f>SUM(G251:G253)</f>
        <v>0</v>
      </c>
      <c r="H250" s="152">
        <f>SUM(H251:H253)</f>
        <v>18916511</v>
      </c>
      <c r="I250" s="152"/>
      <c r="J250" s="152">
        <f>SUM(J251:J253)</f>
        <v>1402981.1</v>
      </c>
      <c r="K250" s="152">
        <f>SUM(K251:K253)</f>
        <v>0</v>
      </c>
      <c r="L250" s="220">
        <f aca="true" t="shared" si="39" ref="L250:R250">SUM(L251:L254)</f>
        <v>20319492.1</v>
      </c>
      <c r="M250" s="220">
        <f t="shared" si="39"/>
        <v>444870</v>
      </c>
      <c r="N250" s="220">
        <f t="shared" si="39"/>
        <v>0</v>
      </c>
      <c r="O250" s="152">
        <f t="shared" si="39"/>
        <v>20764362.1</v>
      </c>
      <c r="P250" s="152">
        <f t="shared" si="39"/>
        <v>4081.4</v>
      </c>
      <c r="Q250" s="152">
        <f t="shared" si="39"/>
        <v>0</v>
      </c>
      <c r="R250" s="152">
        <f t="shared" si="39"/>
        <v>20768443.5</v>
      </c>
      <c r="S250" s="212"/>
    </row>
    <row r="251" spans="1:19" s="126" customFormat="1" ht="27.75" customHeight="1">
      <c r="A251" s="120"/>
      <c r="B251" s="120"/>
      <c r="C251" s="119">
        <v>7</v>
      </c>
      <c r="D251" s="118" t="s">
        <v>1</v>
      </c>
      <c r="E251" s="118" t="s">
        <v>0</v>
      </c>
      <c r="F251" s="117">
        <v>18911995</v>
      </c>
      <c r="G251" s="117"/>
      <c r="H251" s="146">
        <f>F251+G251</f>
        <v>18911995</v>
      </c>
      <c r="I251" s="146"/>
      <c r="J251" s="146"/>
      <c r="K251" s="146"/>
      <c r="L251" s="154">
        <f>H251+J251</f>
        <v>18911995</v>
      </c>
      <c r="M251" s="154"/>
      <c r="N251" s="154"/>
      <c r="O251" s="146">
        <f>L251+M251+N251</f>
        <v>18911995</v>
      </c>
      <c r="P251" s="146"/>
      <c r="Q251" s="146"/>
      <c r="R251" s="146">
        <f>O251+P251+Q251</f>
        <v>18911995</v>
      </c>
      <c r="S251" s="212"/>
    </row>
    <row r="252" spans="1:19" s="145" customFormat="1" ht="44.25" customHeight="1">
      <c r="A252" s="140"/>
      <c r="B252" s="140"/>
      <c r="C252" s="141">
        <v>11</v>
      </c>
      <c r="D252" s="142" t="s">
        <v>19</v>
      </c>
      <c r="E252" s="143" t="s">
        <v>540</v>
      </c>
      <c r="F252" s="90"/>
      <c r="G252" s="90"/>
      <c r="H252" s="144"/>
      <c r="I252" s="144"/>
      <c r="J252" s="144">
        <f>577156.4+792919.9+32904.8</f>
        <v>1402981.1</v>
      </c>
      <c r="K252" s="144"/>
      <c r="L252" s="154">
        <f>H252+J252</f>
        <v>1402981.1</v>
      </c>
      <c r="M252" s="154"/>
      <c r="N252" s="228"/>
      <c r="O252" s="146">
        <f>L252+M252+N252</f>
        <v>1402981.1</v>
      </c>
      <c r="P252" s="146">
        <v>4081.4</v>
      </c>
      <c r="Q252" s="144"/>
      <c r="R252" s="146">
        <f>O252+P252+Q252</f>
        <v>1407062.5</v>
      </c>
      <c r="S252" s="212"/>
    </row>
    <row r="253" spans="1:19" s="126" customFormat="1" ht="93.75">
      <c r="A253" s="120"/>
      <c r="B253" s="120"/>
      <c r="C253" s="119">
        <v>24</v>
      </c>
      <c r="D253" s="127" t="s">
        <v>187</v>
      </c>
      <c r="E253" s="127" t="s">
        <v>186</v>
      </c>
      <c r="F253" s="117">
        <v>4516</v>
      </c>
      <c r="G253" s="117"/>
      <c r="H253" s="146">
        <f>F253+G253</f>
        <v>4516</v>
      </c>
      <c r="I253" s="146"/>
      <c r="J253" s="146"/>
      <c r="K253" s="146"/>
      <c r="L253" s="154">
        <f>H253+J253</f>
        <v>4516</v>
      </c>
      <c r="M253" s="154">
        <v>344870</v>
      </c>
      <c r="N253" s="154"/>
      <c r="O253" s="146">
        <f>L253+M253+N253</f>
        <v>349386</v>
      </c>
      <c r="P253" s="146"/>
      <c r="Q253" s="146"/>
      <c r="R253" s="146">
        <f>O253+P253+Q253</f>
        <v>349386</v>
      </c>
      <c r="S253" s="212"/>
    </row>
    <row r="254" spans="1:18" s="145" customFormat="1" ht="168.75" customHeight="1">
      <c r="A254" s="140"/>
      <c r="B254" s="140"/>
      <c r="C254" s="141">
        <v>29</v>
      </c>
      <c r="D254" s="142" t="s">
        <v>569</v>
      </c>
      <c r="E254" s="143" t="s">
        <v>568</v>
      </c>
      <c r="F254" s="90"/>
      <c r="G254" s="90"/>
      <c r="H254" s="144"/>
      <c r="I254" s="144">
        <v>50000</v>
      </c>
      <c r="J254" s="144"/>
      <c r="K254" s="144">
        <f>H254+I254+J254</f>
        <v>50000</v>
      </c>
      <c r="L254" s="229"/>
      <c r="M254" s="229">
        <v>100000</v>
      </c>
      <c r="N254" s="229"/>
      <c r="O254" s="146">
        <f>L254+M254+N254</f>
        <v>100000</v>
      </c>
      <c r="P254" s="140"/>
      <c r="Q254" s="140"/>
      <c r="R254" s="146">
        <f>O254+P254+Q254</f>
        <v>100000</v>
      </c>
    </row>
    <row r="255" spans="1:19" s="252" customFormat="1" ht="18.75" hidden="1">
      <c r="A255" s="246"/>
      <c r="B255" s="246"/>
      <c r="C255" s="247"/>
      <c r="D255" s="248"/>
      <c r="E255" s="248"/>
      <c r="F255" s="249">
        <f>'2011 Доходы (2)'!G8-'2011_Расходы (3)'!F3</f>
        <v>28269</v>
      </c>
      <c r="G255" s="249">
        <f>'2011 Доходы (2)'!H8-'2011_Расходы (3)'!G3</f>
        <v>0</v>
      </c>
      <c r="H255" s="250">
        <f>'2011 Доходы (2)'!I8-'2011_Расходы (3)'!H3</f>
        <v>28269</v>
      </c>
      <c r="I255" s="250"/>
      <c r="J255" s="250">
        <f>'2011 Доходы (2)'!J8-'2011_Расходы (3)'!J3</f>
        <v>-2452927.1</v>
      </c>
      <c r="K255" s="250">
        <f>'2011 Доходы (2)'!K8-'2011_Расходы (3)'!K3</f>
        <v>343672</v>
      </c>
      <c r="L255" s="250">
        <f>'2011 Доходы (2)'!L8-'2011_Расходы (3)'!L3</f>
        <v>-2080986.100000009</v>
      </c>
      <c r="M255" s="250">
        <f>'2011 Доходы (2)'!M8-'2011_Расходы (3)'!M3</f>
        <v>-444870</v>
      </c>
      <c r="N255" s="250">
        <f>'2011 Доходы (2)'!N8-'2011_Расходы (3)'!N3</f>
        <v>444870</v>
      </c>
      <c r="O255" s="250">
        <f>'2011 Доходы (2)'!O8-'2011_Расходы (3)'!O3</f>
        <v>-2080986.100000009</v>
      </c>
      <c r="P255" s="250">
        <f>'2011 Доходы (2)'!P8-'2011_Расходы (3)'!P3</f>
        <v>-517608.49999999994</v>
      </c>
      <c r="Q255" s="250">
        <f>'2011 Доходы (2)'!Q8-'2011_Расходы (3)'!Q3</f>
        <v>838720.5</v>
      </c>
      <c r="R255" s="250">
        <f>'2011 Доходы (2)'!R8-'2011_Расходы (3)'!R3</f>
        <v>-1759874.100000009</v>
      </c>
      <c r="S255" s="251"/>
    </row>
    <row r="256" spans="1:19" ht="31.5" customHeight="1">
      <c r="A256" s="88"/>
      <c r="B256" s="89"/>
      <c r="C256" s="88"/>
      <c r="D256" s="87" t="s">
        <v>185</v>
      </c>
      <c r="E256" s="87" t="s">
        <v>184</v>
      </c>
      <c r="F256" s="86">
        <f>F257-F269</f>
        <v>-494002</v>
      </c>
      <c r="G256" s="86">
        <f>G257-G269</f>
        <v>898742</v>
      </c>
      <c r="H256" s="147">
        <f>H257-H269</f>
        <v>404740</v>
      </c>
      <c r="I256" s="147"/>
      <c r="J256" s="147">
        <f>J257-J269</f>
        <v>178300</v>
      </c>
      <c r="K256" s="147">
        <f>K257-K269</f>
        <v>0</v>
      </c>
      <c r="L256" s="218">
        <f>L257-L269</f>
        <v>583040</v>
      </c>
      <c r="M256" s="218"/>
      <c r="N256" s="218">
        <f>N257-N269</f>
        <v>0</v>
      </c>
      <c r="O256" s="147">
        <f>O257-O269</f>
        <v>583040</v>
      </c>
      <c r="P256" s="147">
        <f>P257-P269</f>
        <v>-12379</v>
      </c>
      <c r="Q256" s="147">
        <f>Q257-Q269</f>
        <v>0</v>
      </c>
      <c r="R256" s="147">
        <f>R257-R269</f>
        <v>570661</v>
      </c>
      <c r="S256" s="212"/>
    </row>
    <row r="257" spans="1:19" s="73" customFormat="1" ht="23.25" customHeight="1">
      <c r="A257" s="191"/>
      <c r="B257" s="125"/>
      <c r="C257" s="124"/>
      <c r="D257" s="123" t="s">
        <v>183</v>
      </c>
      <c r="E257" s="123" t="s">
        <v>182</v>
      </c>
      <c r="F257" s="122">
        <f>F258+F264</f>
        <v>100000</v>
      </c>
      <c r="G257" s="122">
        <f>G258+G264+G261</f>
        <v>898742</v>
      </c>
      <c r="H257" s="156">
        <f>H258+H264+H261</f>
        <v>998742</v>
      </c>
      <c r="I257" s="156"/>
      <c r="J257" s="156">
        <f>J258+J264+J261</f>
        <v>323600</v>
      </c>
      <c r="K257" s="156">
        <f>K258+K264+K261</f>
        <v>0</v>
      </c>
      <c r="L257" s="230">
        <f>L258+L264+L261</f>
        <v>1322342</v>
      </c>
      <c r="M257" s="230"/>
      <c r="N257" s="230">
        <f>N258+N264+N261</f>
        <v>0</v>
      </c>
      <c r="O257" s="156">
        <f>O258+O264+O261</f>
        <v>1322342</v>
      </c>
      <c r="P257" s="156">
        <f>P258+P264+P261</f>
        <v>0</v>
      </c>
      <c r="Q257" s="156">
        <f>Q258+Q264+Q261</f>
        <v>0</v>
      </c>
      <c r="R257" s="156">
        <f>R258+R264+R261</f>
        <v>1322342</v>
      </c>
      <c r="S257" s="212"/>
    </row>
    <row r="258" spans="1:19" ht="26.25" customHeight="1">
      <c r="A258" s="108">
        <v>7</v>
      </c>
      <c r="B258" s="107"/>
      <c r="C258" s="106"/>
      <c r="D258" s="105" t="s">
        <v>181</v>
      </c>
      <c r="E258" s="105" t="s">
        <v>180</v>
      </c>
      <c r="F258" s="96">
        <f aca="true" t="shared" si="40" ref="F258:H259">F259</f>
        <v>0</v>
      </c>
      <c r="G258" s="96">
        <f t="shared" si="40"/>
        <v>467000</v>
      </c>
      <c r="H258" s="157">
        <f t="shared" si="40"/>
        <v>467000</v>
      </c>
      <c r="I258" s="157"/>
      <c r="J258" s="157">
        <f aca="true" t="shared" si="41" ref="J258:R259">J259</f>
        <v>247600</v>
      </c>
      <c r="K258" s="157">
        <f t="shared" si="41"/>
        <v>0</v>
      </c>
      <c r="L258" s="231">
        <f t="shared" si="41"/>
        <v>714600</v>
      </c>
      <c r="M258" s="231"/>
      <c r="N258" s="231">
        <f t="shared" si="41"/>
        <v>0</v>
      </c>
      <c r="O258" s="157">
        <f t="shared" si="41"/>
        <v>714600</v>
      </c>
      <c r="P258" s="157">
        <f t="shared" si="41"/>
        <v>0</v>
      </c>
      <c r="Q258" s="157">
        <f t="shared" si="41"/>
        <v>0</v>
      </c>
      <c r="R258" s="157">
        <f t="shared" si="41"/>
        <v>714600</v>
      </c>
      <c r="S258" s="212"/>
    </row>
    <row r="259" spans="1:19" ht="31.5" customHeight="1">
      <c r="A259" s="67"/>
      <c r="B259" s="67">
        <v>271</v>
      </c>
      <c r="C259" s="67"/>
      <c r="D259" s="66" t="s">
        <v>179</v>
      </c>
      <c r="E259" s="66" t="s">
        <v>178</v>
      </c>
      <c r="F259" s="65">
        <f t="shared" si="40"/>
        <v>0</v>
      </c>
      <c r="G259" s="65">
        <f t="shared" si="40"/>
        <v>467000</v>
      </c>
      <c r="H259" s="158">
        <f t="shared" si="40"/>
        <v>467000</v>
      </c>
      <c r="I259" s="158"/>
      <c r="J259" s="158">
        <f t="shared" si="41"/>
        <v>247600</v>
      </c>
      <c r="K259" s="158">
        <f t="shared" si="41"/>
        <v>0</v>
      </c>
      <c r="L259" s="224">
        <f t="shared" si="41"/>
        <v>714600</v>
      </c>
      <c r="M259" s="224"/>
      <c r="N259" s="224">
        <f t="shared" si="41"/>
        <v>0</v>
      </c>
      <c r="O259" s="158">
        <f t="shared" si="41"/>
        <v>714600</v>
      </c>
      <c r="P259" s="158">
        <f t="shared" si="41"/>
        <v>0</v>
      </c>
      <c r="Q259" s="158">
        <f t="shared" si="41"/>
        <v>0</v>
      </c>
      <c r="R259" s="158">
        <f t="shared" si="41"/>
        <v>714600</v>
      </c>
      <c r="S259" s="212"/>
    </row>
    <row r="260" spans="1:19" ht="55.5" customHeight="1">
      <c r="A260" s="104"/>
      <c r="B260" s="104"/>
      <c r="C260" s="103">
        <v>9</v>
      </c>
      <c r="D260" s="118" t="s">
        <v>177</v>
      </c>
      <c r="E260" s="118" t="s">
        <v>176</v>
      </c>
      <c r="F260" s="117"/>
      <c r="G260" s="117">
        <v>467000</v>
      </c>
      <c r="H260" s="146">
        <f>F260+G260</f>
        <v>467000</v>
      </c>
      <c r="I260" s="146"/>
      <c r="J260" s="171">
        <v>247600</v>
      </c>
      <c r="K260" s="146"/>
      <c r="L260" s="222">
        <f>H260+J260</f>
        <v>714600</v>
      </c>
      <c r="M260" s="222"/>
      <c r="N260" s="154"/>
      <c r="O260" s="146">
        <f>L260+N260</f>
        <v>714600</v>
      </c>
      <c r="P260" s="204"/>
      <c r="Q260" s="146"/>
      <c r="R260" s="146">
        <f>O260+P260+Q260</f>
        <v>714600</v>
      </c>
      <c r="S260" s="212"/>
    </row>
    <row r="261" spans="1:19" ht="85.5" customHeight="1">
      <c r="A261" s="108">
        <v>10</v>
      </c>
      <c r="B261" s="107"/>
      <c r="C261" s="106"/>
      <c r="D261" s="105" t="s">
        <v>175</v>
      </c>
      <c r="E261" s="105" t="s">
        <v>174</v>
      </c>
      <c r="F261" s="96">
        <f>F262</f>
        <v>0</v>
      </c>
      <c r="G261" s="96">
        <f>G262</f>
        <v>431742</v>
      </c>
      <c r="H261" s="157">
        <f>H262</f>
        <v>431742</v>
      </c>
      <c r="I261" s="157"/>
      <c r="J261" s="157">
        <f aca="true" t="shared" si="42" ref="J261:R262">J262</f>
        <v>0</v>
      </c>
      <c r="K261" s="157">
        <f t="shared" si="42"/>
        <v>0</v>
      </c>
      <c r="L261" s="232">
        <f t="shared" si="42"/>
        <v>431742</v>
      </c>
      <c r="M261" s="232"/>
      <c r="N261" s="231">
        <f t="shared" si="42"/>
        <v>0</v>
      </c>
      <c r="O261" s="210">
        <f t="shared" si="42"/>
        <v>431742</v>
      </c>
      <c r="P261" s="210">
        <f t="shared" si="42"/>
        <v>0</v>
      </c>
      <c r="Q261" s="210">
        <f t="shared" si="42"/>
        <v>0</v>
      </c>
      <c r="R261" s="210">
        <f t="shared" si="42"/>
        <v>431742</v>
      </c>
      <c r="S261" s="212"/>
    </row>
    <row r="262" spans="1:19" ht="41.25" customHeight="1">
      <c r="A262" s="67"/>
      <c r="B262" s="67">
        <v>258</v>
      </c>
      <c r="C262" s="67"/>
      <c r="D262" s="65" t="s">
        <v>173</v>
      </c>
      <c r="E262" s="65" t="s">
        <v>172</v>
      </c>
      <c r="F262" s="121"/>
      <c r="G262" s="121">
        <f>G263</f>
        <v>431742</v>
      </c>
      <c r="H262" s="152">
        <f>H263</f>
        <v>431742</v>
      </c>
      <c r="I262" s="152"/>
      <c r="J262" s="152">
        <f t="shared" si="42"/>
        <v>0</v>
      </c>
      <c r="K262" s="152">
        <f t="shared" si="42"/>
        <v>0</v>
      </c>
      <c r="L262" s="220">
        <f t="shared" si="42"/>
        <v>431742</v>
      </c>
      <c r="M262" s="220"/>
      <c r="N262" s="220">
        <f t="shared" si="42"/>
        <v>0</v>
      </c>
      <c r="O262" s="152">
        <f t="shared" si="42"/>
        <v>431742</v>
      </c>
      <c r="P262" s="152"/>
      <c r="Q262" s="152">
        <f t="shared" si="42"/>
        <v>0</v>
      </c>
      <c r="R262" s="152">
        <f t="shared" si="42"/>
        <v>431742</v>
      </c>
      <c r="S262" s="212"/>
    </row>
    <row r="263" spans="1:19" ht="82.5" customHeight="1">
      <c r="A263" s="120"/>
      <c r="B263" s="120"/>
      <c r="C263" s="119">
        <v>7</v>
      </c>
      <c r="D263" s="118" t="s">
        <v>171</v>
      </c>
      <c r="E263" s="118" t="s">
        <v>170</v>
      </c>
      <c r="F263" s="117"/>
      <c r="G263" s="117">
        <v>431742</v>
      </c>
      <c r="H263" s="146">
        <f>F263+G263</f>
        <v>431742</v>
      </c>
      <c r="I263" s="146"/>
      <c r="J263" s="146"/>
      <c r="K263" s="146"/>
      <c r="L263" s="154">
        <f>H263+J263</f>
        <v>431742</v>
      </c>
      <c r="M263" s="154"/>
      <c r="N263" s="154"/>
      <c r="O263" s="146">
        <f>L263+N263</f>
        <v>431742</v>
      </c>
      <c r="P263" s="146"/>
      <c r="Q263" s="146"/>
      <c r="R263" s="146">
        <f>O263+P263+Q263</f>
        <v>431742</v>
      </c>
      <c r="S263" s="212"/>
    </row>
    <row r="264" spans="1:19" ht="31.5" customHeight="1">
      <c r="A264" s="108">
        <v>13</v>
      </c>
      <c r="B264" s="107"/>
      <c r="C264" s="106"/>
      <c r="D264" s="105" t="s">
        <v>157</v>
      </c>
      <c r="E264" s="105" t="s">
        <v>156</v>
      </c>
      <c r="F264" s="96">
        <f>F265</f>
        <v>100000</v>
      </c>
      <c r="G264" s="96">
        <f>G265</f>
        <v>0</v>
      </c>
      <c r="H264" s="157">
        <f>H265</f>
        <v>100000</v>
      </c>
      <c r="I264" s="157"/>
      <c r="J264" s="157">
        <f aca="true" t="shared" si="43" ref="J264:R264">J265</f>
        <v>76000</v>
      </c>
      <c r="K264" s="157">
        <f t="shared" si="43"/>
        <v>0</v>
      </c>
      <c r="L264" s="231">
        <f t="shared" si="43"/>
        <v>176000</v>
      </c>
      <c r="M264" s="231"/>
      <c r="N264" s="231">
        <f t="shared" si="43"/>
        <v>0</v>
      </c>
      <c r="O264" s="157">
        <f t="shared" si="43"/>
        <v>176000</v>
      </c>
      <c r="P264" s="157"/>
      <c r="Q264" s="157">
        <f t="shared" si="43"/>
        <v>0</v>
      </c>
      <c r="R264" s="157">
        <f t="shared" si="43"/>
        <v>176000</v>
      </c>
      <c r="S264" s="212"/>
    </row>
    <row r="265" spans="1:19" ht="37.5">
      <c r="A265" s="67"/>
      <c r="B265" s="67">
        <v>265</v>
      </c>
      <c r="C265" s="67"/>
      <c r="D265" s="66" t="s">
        <v>169</v>
      </c>
      <c r="E265" s="66" t="s">
        <v>168</v>
      </c>
      <c r="F265" s="65">
        <f>F267</f>
        <v>100000</v>
      </c>
      <c r="G265" s="65">
        <f>G267</f>
        <v>0</v>
      </c>
      <c r="H265" s="158">
        <f>H267+H266</f>
        <v>100000</v>
      </c>
      <c r="I265" s="158"/>
      <c r="J265" s="158">
        <f>J267+J266</f>
        <v>76000</v>
      </c>
      <c r="K265" s="158">
        <f>K267+K266</f>
        <v>0</v>
      </c>
      <c r="L265" s="224">
        <f>L267+L266</f>
        <v>176000</v>
      </c>
      <c r="M265" s="224"/>
      <c r="N265" s="224">
        <f>N267+N266</f>
        <v>0</v>
      </c>
      <c r="O265" s="158">
        <f>O267+O266</f>
        <v>176000</v>
      </c>
      <c r="P265" s="158"/>
      <c r="Q265" s="158">
        <f>Q267+Q266</f>
        <v>0</v>
      </c>
      <c r="R265" s="158">
        <f>R267+R266</f>
        <v>176000</v>
      </c>
      <c r="S265" s="212"/>
    </row>
    <row r="266" spans="1:19" s="126" customFormat="1" ht="56.25">
      <c r="A266" s="187"/>
      <c r="B266" s="187"/>
      <c r="C266" s="188">
        <v>9</v>
      </c>
      <c r="D266" s="189" t="s">
        <v>566</v>
      </c>
      <c r="E266" s="189" t="s">
        <v>565</v>
      </c>
      <c r="F266" s="190"/>
      <c r="G266" s="190"/>
      <c r="H266" s="185"/>
      <c r="I266" s="185"/>
      <c r="J266" s="185">
        <v>76000</v>
      </c>
      <c r="K266" s="185"/>
      <c r="L266" s="154">
        <f>H266+J266+K266</f>
        <v>76000</v>
      </c>
      <c r="M266" s="154"/>
      <c r="N266" s="154"/>
      <c r="O266" s="146">
        <f>L266+N266</f>
        <v>76000</v>
      </c>
      <c r="P266" s="185"/>
      <c r="Q266" s="185"/>
      <c r="R266" s="146">
        <f>O266+P266+Q266</f>
        <v>76000</v>
      </c>
      <c r="S266" s="212"/>
    </row>
    <row r="267" spans="1:19" ht="56.25">
      <c r="A267" s="104"/>
      <c r="B267" s="104"/>
      <c r="C267" s="103">
        <v>10</v>
      </c>
      <c r="D267" s="102" t="s">
        <v>167</v>
      </c>
      <c r="E267" s="102" t="s">
        <v>166</v>
      </c>
      <c r="F267" s="90">
        <v>100000</v>
      </c>
      <c r="G267" s="90"/>
      <c r="H267" s="146">
        <f>F267+G267</f>
        <v>100000</v>
      </c>
      <c r="I267" s="146"/>
      <c r="J267" s="146"/>
      <c r="K267" s="146"/>
      <c r="L267" s="154">
        <f>H267+J267</f>
        <v>100000</v>
      </c>
      <c r="M267" s="154"/>
      <c r="N267" s="154"/>
      <c r="O267" s="146">
        <f>L267+N267</f>
        <v>100000</v>
      </c>
      <c r="P267" s="146"/>
      <c r="Q267" s="146"/>
      <c r="R267" s="146">
        <f>O267+P267+Q267</f>
        <v>100000</v>
      </c>
      <c r="S267" s="212"/>
    </row>
    <row r="268" spans="1:19" s="109" customFormat="1" ht="33.75" customHeight="1">
      <c r="A268" s="192"/>
      <c r="B268" s="113"/>
      <c r="C268" s="112"/>
      <c r="D268" s="111" t="s">
        <v>165</v>
      </c>
      <c r="E268" s="111" t="s">
        <v>164</v>
      </c>
      <c r="F268" s="110">
        <f aca="true" t="shared" si="44" ref="F268:H270">F269</f>
        <v>594002</v>
      </c>
      <c r="G268" s="110">
        <f t="shared" si="44"/>
        <v>0</v>
      </c>
      <c r="H268" s="159">
        <f t="shared" si="44"/>
        <v>594002</v>
      </c>
      <c r="I268" s="159"/>
      <c r="J268" s="159">
        <f aca="true" t="shared" si="45" ref="J268:R270">J269</f>
        <v>145300</v>
      </c>
      <c r="K268" s="159">
        <f t="shared" si="45"/>
        <v>0</v>
      </c>
      <c r="L268" s="233">
        <f t="shared" si="45"/>
        <v>739302</v>
      </c>
      <c r="M268" s="233"/>
      <c r="N268" s="233">
        <f t="shared" si="45"/>
        <v>0</v>
      </c>
      <c r="O268" s="159">
        <f t="shared" si="45"/>
        <v>739302</v>
      </c>
      <c r="P268" s="159">
        <f t="shared" si="45"/>
        <v>12379</v>
      </c>
      <c r="Q268" s="159">
        <f t="shared" si="45"/>
        <v>0</v>
      </c>
      <c r="R268" s="159">
        <f t="shared" si="45"/>
        <v>751681</v>
      </c>
      <c r="S268" s="212"/>
    </row>
    <row r="269" spans="1:19" ht="33.75" customHeight="1">
      <c r="A269" s="108">
        <v>5</v>
      </c>
      <c r="B269" s="107"/>
      <c r="C269" s="106"/>
      <c r="D269" s="105" t="s">
        <v>165</v>
      </c>
      <c r="E269" s="105" t="s">
        <v>164</v>
      </c>
      <c r="F269" s="96">
        <f t="shared" si="44"/>
        <v>594002</v>
      </c>
      <c r="G269" s="96">
        <f t="shared" si="44"/>
        <v>0</v>
      </c>
      <c r="H269" s="157">
        <f t="shared" si="44"/>
        <v>594002</v>
      </c>
      <c r="I269" s="157"/>
      <c r="J269" s="157">
        <f t="shared" si="45"/>
        <v>145300</v>
      </c>
      <c r="K269" s="157">
        <f t="shared" si="45"/>
        <v>0</v>
      </c>
      <c r="L269" s="231">
        <f t="shared" si="45"/>
        <v>739302</v>
      </c>
      <c r="M269" s="231"/>
      <c r="N269" s="231">
        <f t="shared" si="45"/>
        <v>0</v>
      </c>
      <c r="O269" s="157">
        <f t="shared" si="45"/>
        <v>739302</v>
      </c>
      <c r="P269" s="157">
        <f t="shared" si="45"/>
        <v>12379</v>
      </c>
      <c r="Q269" s="157">
        <f t="shared" si="45"/>
        <v>0</v>
      </c>
      <c r="R269" s="157">
        <f t="shared" si="45"/>
        <v>751681</v>
      </c>
      <c r="S269" s="212"/>
    </row>
    <row r="270" spans="1:19" ht="33.75" customHeight="1">
      <c r="A270" s="101"/>
      <c r="B270" s="116" t="s">
        <v>8</v>
      </c>
      <c r="C270" s="115"/>
      <c r="D270" s="98" t="s">
        <v>165</v>
      </c>
      <c r="E270" s="98" t="s">
        <v>164</v>
      </c>
      <c r="F270" s="97">
        <f t="shared" si="44"/>
        <v>594002</v>
      </c>
      <c r="G270" s="97">
        <f t="shared" si="44"/>
        <v>0</v>
      </c>
      <c r="H270" s="160">
        <f t="shared" si="44"/>
        <v>594002</v>
      </c>
      <c r="I270" s="160"/>
      <c r="J270" s="160">
        <f t="shared" si="45"/>
        <v>145300</v>
      </c>
      <c r="K270" s="160">
        <f t="shared" si="45"/>
        <v>0</v>
      </c>
      <c r="L270" s="231">
        <f t="shared" si="45"/>
        <v>739302</v>
      </c>
      <c r="M270" s="231"/>
      <c r="N270" s="231">
        <f t="shared" si="45"/>
        <v>0</v>
      </c>
      <c r="O270" s="160">
        <f t="shared" si="45"/>
        <v>739302</v>
      </c>
      <c r="P270" s="160">
        <f t="shared" si="45"/>
        <v>12379</v>
      </c>
      <c r="Q270" s="160">
        <f t="shared" si="45"/>
        <v>0</v>
      </c>
      <c r="R270" s="160">
        <f t="shared" si="45"/>
        <v>751681</v>
      </c>
      <c r="S270" s="212"/>
    </row>
    <row r="271" spans="1:19" ht="37.5">
      <c r="A271" s="104"/>
      <c r="B271" s="114"/>
      <c r="C271" s="114">
        <v>1</v>
      </c>
      <c r="D271" s="102" t="s">
        <v>163</v>
      </c>
      <c r="E271" s="102" t="s">
        <v>162</v>
      </c>
      <c r="F271" s="90">
        <f>75121+499000+19881</f>
        <v>594002</v>
      </c>
      <c r="G271" s="90"/>
      <c r="H271" s="146">
        <f>F271+G271</f>
        <v>594002</v>
      </c>
      <c r="I271" s="146"/>
      <c r="J271" s="146">
        <v>145300</v>
      </c>
      <c r="K271" s="146"/>
      <c r="L271" s="154">
        <f>H271+J271</f>
        <v>739302</v>
      </c>
      <c r="M271" s="154"/>
      <c r="N271" s="154"/>
      <c r="O271" s="146">
        <f>L271+N271</f>
        <v>739302</v>
      </c>
      <c r="P271" s="146">
        <v>12379</v>
      </c>
      <c r="Q271" s="146"/>
      <c r="R271" s="146">
        <f>O271+P271+Q271</f>
        <v>751681</v>
      </c>
      <c r="S271" s="212"/>
    </row>
    <row r="272" spans="1:19" ht="36" customHeight="1">
      <c r="A272" s="88"/>
      <c r="B272" s="89"/>
      <c r="C272" s="88"/>
      <c r="D272" s="87" t="s">
        <v>161</v>
      </c>
      <c r="E272" s="87" t="s">
        <v>160</v>
      </c>
      <c r="F272" s="86">
        <f>F273-F278</f>
        <v>3390</v>
      </c>
      <c r="G272" s="86">
        <f>G273-G278</f>
        <v>0</v>
      </c>
      <c r="H272" s="147">
        <f>H273-H278</f>
        <v>3390</v>
      </c>
      <c r="I272" s="147"/>
      <c r="J272" s="147">
        <f>J273-J278</f>
        <v>0</v>
      </c>
      <c r="K272" s="147">
        <f>K273-K278</f>
        <v>0</v>
      </c>
      <c r="L272" s="218">
        <f>L273-L278</f>
        <v>3390</v>
      </c>
      <c r="M272" s="218"/>
      <c r="N272" s="218">
        <f>N273-N278</f>
        <v>0</v>
      </c>
      <c r="O272" s="147">
        <f>O273-O278</f>
        <v>3390</v>
      </c>
      <c r="P272" s="147">
        <f>P273-P278</f>
        <v>333491</v>
      </c>
      <c r="Q272" s="147">
        <f>Q273-Q278</f>
        <v>0</v>
      </c>
      <c r="R272" s="147">
        <f>R273-R278</f>
        <v>336881</v>
      </c>
      <c r="S272" s="212"/>
    </row>
    <row r="273" spans="1:19" s="109" customFormat="1" ht="27.75" customHeight="1">
      <c r="A273" s="192"/>
      <c r="B273" s="113"/>
      <c r="C273" s="112"/>
      <c r="D273" s="111" t="s">
        <v>159</v>
      </c>
      <c r="E273" s="111" t="s">
        <v>158</v>
      </c>
      <c r="F273" s="110">
        <f aca="true" t="shared" si="46" ref="F273:H275">F274</f>
        <v>4390</v>
      </c>
      <c r="G273" s="110">
        <f t="shared" si="46"/>
        <v>0</v>
      </c>
      <c r="H273" s="159">
        <f t="shared" si="46"/>
        <v>4390</v>
      </c>
      <c r="I273" s="159"/>
      <c r="J273" s="159">
        <f aca="true" t="shared" si="47" ref="J273:R275">J274</f>
        <v>0</v>
      </c>
      <c r="K273" s="159">
        <f t="shared" si="47"/>
        <v>0</v>
      </c>
      <c r="L273" s="233">
        <f t="shared" si="47"/>
        <v>4390</v>
      </c>
      <c r="M273" s="233"/>
      <c r="N273" s="233">
        <f t="shared" si="47"/>
        <v>0</v>
      </c>
      <c r="O273" s="159">
        <f t="shared" si="47"/>
        <v>4390</v>
      </c>
      <c r="P273" s="159">
        <f t="shared" si="47"/>
        <v>333491</v>
      </c>
      <c r="Q273" s="159">
        <f t="shared" si="47"/>
        <v>0</v>
      </c>
      <c r="R273" s="159">
        <f t="shared" si="47"/>
        <v>337881</v>
      </c>
      <c r="S273" s="212"/>
    </row>
    <row r="274" spans="1:19" ht="27.75" customHeight="1">
      <c r="A274" s="108">
        <v>13</v>
      </c>
      <c r="B274" s="107"/>
      <c r="C274" s="106"/>
      <c r="D274" s="105" t="s">
        <v>157</v>
      </c>
      <c r="E274" s="105" t="s">
        <v>156</v>
      </c>
      <c r="F274" s="96">
        <f t="shared" si="46"/>
        <v>4390</v>
      </c>
      <c r="G274" s="96">
        <f t="shared" si="46"/>
        <v>0</v>
      </c>
      <c r="H274" s="157">
        <f t="shared" si="46"/>
        <v>4390</v>
      </c>
      <c r="I274" s="157"/>
      <c r="J274" s="157">
        <f t="shared" si="47"/>
        <v>0</v>
      </c>
      <c r="K274" s="157">
        <f t="shared" si="47"/>
        <v>0</v>
      </c>
      <c r="L274" s="231">
        <f t="shared" si="47"/>
        <v>4390</v>
      </c>
      <c r="M274" s="231"/>
      <c r="N274" s="231">
        <f t="shared" si="47"/>
        <v>0</v>
      </c>
      <c r="O274" s="157">
        <f t="shared" si="47"/>
        <v>4390</v>
      </c>
      <c r="P274" s="157">
        <f t="shared" si="47"/>
        <v>333491</v>
      </c>
      <c r="Q274" s="157">
        <f t="shared" si="47"/>
        <v>0</v>
      </c>
      <c r="R274" s="157">
        <f t="shared" si="47"/>
        <v>337881</v>
      </c>
      <c r="S274" s="212"/>
    </row>
    <row r="275" spans="1:19" ht="27.75" customHeight="1">
      <c r="A275" s="67"/>
      <c r="B275" s="67">
        <v>257</v>
      </c>
      <c r="C275" s="67"/>
      <c r="D275" s="66" t="s">
        <v>137</v>
      </c>
      <c r="E275" s="66" t="s">
        <v>136</v>
      </c>
      <c r="F275" s="65">
        <f t="shared" si="46"/>
        <v>4390</v>
      </c>
      <c r="G275" s="65">
        <f t="shared" si="46"/>
        <v>0</v>
      </c>
      <c r="H275" s="158">
        <f t="shared" si="46"/>
        <v>4390</v>
      </c>
      <c r="I275" s="158"/>
      <c r="J275" s="158">
        <f t="shared" si="47"/>
        <v>0</v>
      </c>
      <c r="K275" s="158">
        <f t="shared" si="47"/>
        <v>0</v>
      </c>
      <c r="L275" s="224">
        <f t="shared" si="47"/>
        <v>4390</v>
      </c>
      <c r="M275" s="224"/>
      <c r="N275" s="224">
        <f t="shared" si="47"/>
        <v>0</v>
      </c>
      <c r="O275" s="158">
        <f t="shared" si="47"/>
        <v>4390</v>
      </c>
      <c r="P275" s="158">
        <f t="shared" si="47"/>
        <v>333491</v>
      </c>
      <c r="Q275" s="158">
        <f t="shared" si="47"/>
        <v>0</v>
      </c>
      <c r="R275" s="158">
        <f t="shared" si="47"/>
        <v>337881</v>
      </c>
      <c r="S275" s="212"/>
    </row>
    <row r="276" spans="1:19" ht="47.25" customHeight="1">
      <c r="A276" s="104"/>
      <c r="B276" s="104"/>
      <c r="C276" s="103">
        <v>5</v>
      </c>
      <c r="D276" s="102" t="s">
        <v>155</v>
      </c>
      <c r="E276" s="102" t="s">
        <v>154</v>
      </c>
      <c r="F276" s="90">
        <v>4390</v>
      </c>
      <c r="G276" s="90"/>
      <c r="H276" s="146">
        <f>F276+G276</f>
        <v>4390</v>
      </c>
      <c r="I276" s="146"/>
      <c r="J276" s="146"/>
      <c r="K276" s="146"/>
      <c r="L276" s="222">
        <f>H276+J276</f>
        <v>4390</v>
      </c>
      <c r="M276" s="222"/>
      <c r="N276" s="154"/>
      <c r="O276" s="146">
        <f>L276+N276</f>
        <v>4390</v>
      </c>
      <c r="P276" s="204">
        <v>333491</v>
      </c>
      <c r="Q276" s="146"/>
      <c r="R276" s="185">
        <f>O276+P276+Q276</f>
        <v>337881</v>
      </c>
      <c r="S276" s="212"/>
    </row>
    <row r="277" spans="1:229" s="91" customFormat="1" ht="37.5">
      <c r="A277" s="101"/>
      <c r="B277" s="100"/>
      <c r="C277" s="99"/>
      <c r="D277" s="98" t="s">
        <v>153</v>
      </c>
      <c r="E277" s="98" t="s">
        <v>152</v>
      </c>
      <c r="F277" s="97">
        <f aca="true" t="shared" si="48" ref="F277:H279">F278</f>
        <v>1000</v>
      </c>
      <c r="G277" s="97">
        <f t="shared" si="48"/>
        <v>0</v>
      </c>
      <c r="H277" s="160">
        <f t="shared" si="48"/>
        <v>1000</v>
      </c>
      <c r="I277" s="160"/>
      <c r="J277" s="160">
        <f aca="true" t="shared" si="49" ref="J277:R279">J278</f>
        <v>0</v>
      </c>
      <c r="K277" s="160">
        <f t="shared" si="49"/>
        <v>0</v>
      </c>
      <c r="L277" s="232">
        <f t="shared" si="49"/>
        <v>1000</v>
      </c>
      <c r="M277" s="232"/>
      <c r="N277" s="231">
        <f t="shared" si="49"/>
        <v>0</v>
      </c>
      <c r="O277" s="211">
        <f t="shared" si="49"/>
        <v>1000</v>
      </c>
      <c r="P277" s="211"/>
      <c r="Q277" s="160">
        <f t="shared" si="49"/>
        <v>0</v>
      </c>
      <c r="R277" s="211">
        <f t="shared" si="49"/>
        <v>1000</v>
      </c>
      <c r="S277" s="212"/>
      <c r="T277" s="95"/>
      <c r="U277" s="94"/>
      <c r="V277" s="93"/>
      <c r="W277" s="93"/>
      <c r="X277" s="92"/>
      <c r="Y277" s="92"/>
      <c r="Z277" s="95"/>
      <c r="AA277" s="94"/>
      <c r="AB277" s="93"/>
      <c r="AC277" s="93"/>
      <c r="AD277" s="92"/>
      <c r="AE277" s="92"/>
      <c r="AF277" s="95"/>
      <c r="AG277" s="94"/>
      <c r="AH277" s="93"/>
      <c r="AI277" s="93"/>
      <c r="AJ277" s="92"/>
      <c r="AK277" s="92"/>
      <c r="AL277" s="95"/>
      <c r="AM277" s="94"/>
      <c r="AN277" s="93"/>
      <c r="AO277" s="93"/>
      <c r="AP277" s="92"/>
      <c r="AQ277" s="92"/>
      <c r="AR277" s="95"/>
      <c r="AS277" s="94"/>
      <c r="AT277" s="93"/>
      <c r="AU277" s="93"/>
      <c r="AV277" s="92"/>
      <c r="AW277" s="92"/>
      <c r="AX277" s="95"/>
      <c r="AY277" s="94"/>
      <c r="AZ277" s="93"/>
      <c r="BA277" s="93"/>
      <c r="BB277" s="92"/>
      <c r="BC277" s="92"/>
      <c r="BD277" s="95"/>
      <c r="BE277" s="94"/>
      <c r="BF277" s="93"/>
      <c r="BG277" s="93"/>
      <c r="BH277" s="92"/>
      <c r="BI277" s="92"/>
      <c r="BJ277" s="95"/>
      <c r="BK277" s="94"/>
      <c r="BL277" s="93"/>
      <c r="BM277" s="93"/>
      <c r="BN277" s="92"/>
      <c r="BO277" s="92"/>
      <c r="BP277" s="95"/>
      <c r="BQ277" s="94"/>
      <c r="BR277" s="93"/>
      <c r="BS277" s="93"/>
      <c r="BT277" s="92"/>
      <c r="BU277" s="92"/>
      <c r="BV277" s="95"/>
      <c r="BW277" s="94"/>
      <c r="BX277" s="93"/>
      <c r="BY277" s="93"/>
      <c r="BZ277" s="92"/>
      <c r="CA277" s="92"/>
      <c r="CB277" s="95"/>
      <c r="CC277" s="94"/>
      <c r="CD277" s="93"/>
      <c r="CE277" s="93"/>
      <c r="CF277" s="92"/>
      <c r="CG277" s="92"/>
      <c r="CH277" s="95"/>
      <c r="CI277" s="94"/>
      <c r="CJ277" s="93"/>
      <c r="CK277" s="93"/>
      <c r="CL277" s="92"/>
      <c r="CM277" s="92"/>
      <c r="CN277" s="95"/>
      <c r="CO277" s="94"/>
      <c r="CP277" s="93"/>
      <c r="CQ277" s="93"/>
      <c r="CR277" s="92"/>
      <c r="CS277" s="92"/>
      <c r="CT277" s="95"/>
      <c r="CU277" s="94"/>
      <c r="CV277" s="93"/>
      <c r="CW277" s="93"/>
      <c r="CX277" s="92"/>
      <c r="CY277" s="92"/>
      <c r="CZ277" s="95"/>
      <c r="DA277" s="94"/>
      <c r="DB277" s="93"/>
      <c r="DC277" s="93"/>
      <c r="DD277" s="92"/>
      <c r="DE277" s="92"/>
      <c r="DF277" s="95"/>
      <c r="DG277" s="94"/>
      <c r="DH277" s="93"/>
      <c r="DI277" s="93"/>
      <c r="DJ277" s="92"/>
      <c r="DK277" s="92"/>
      <c r="DL277" s="95"/>
      <c r="DM277" s="94"/>
      <c r="DN277" s="93"/>
      <c r="DO277" s="93"/>
      <c r="DP277" s="92"/>
      <c r="DQ277" s="92"/>
      <c r="DR277" s="95"/>
      <c r="DS277" s="94"/>
      <c r="DT277" s="93"/>
      <c r="DU277" s="93"/>
      <c r="DV277" s="92"/>
      <c r="DW277" s="92"/>
      <c r="DX277" s="95"/>
      <c r="DY277" s="94"/>
      <c r="DZ277" s="93"/>
      <c r="EA277" s="93"/>
      <c r="EB277" s="92"/>
      <c r="EC277" s="92"/>
      <c r="ED277" s="95"/>
      <c r="EE277" s="94"/>
      <c r="EF277" s="93"/>
      <c r="EG277" s="93"/>
      <c r="EH277" s="92"/>
      <c r="EI277" s="92"/>
      <c r="EJ277" s="95"/>
      <c r="EK277" s="94"/>
      <c r="EL277" s="93"/>
      <c r="EM277" s="93"/>
      <c r="EN277" s="92"/>
      <c r="EO277" s="92"/>
      <c r="EP277" s="95"/>
      <c r="EQ277" s="94"/>
      <c r="ER277" s="93"/>
      <c r="ES277" s="93"/>
      <c r="ET277" s="92"/>
      <c r="EU277" s="92"/>
      <c r="EV277" s="95"/>
      <c r="EW277" s="94"/>
      <c r="EX277" s="93"/>
      <c r="EY277" s="93"/>
      <c r="EZ277" s="92"/>
      <c r="FA277" s="92"/>
      <c r="FB277" s="95"/>
      <c r="FC277" s="94"/>
      <c r="FD277" s="93"/>
      <c r="FE277" s="93"/>
      <c r="FF277" s="92"/>
      <c r="FG277" s="92"/>
      <c r="FH277" s="95"/>
      <c r="FI277" s="94"/>
      <c r="FJ277" s="93"/>
      <c r="FK277" s="93"/>
      <c r="FL277" s="92"/>
      <c r="FM277" s="92"/>
      <c r="FN277" s="95"/>
      <c r="FO277" s="94"/>
      <c r="FP277" s="93"/>
      <c r="FQ277" s="93"/>
      <c r="FR277" s="92"/>
      <c r="FS277" s="92"/>
      <c r="FT277" s="95"/>
      <c r="FU277" s="94"/>
      <c r="FV277" s="93"/>
      <c r="FW277" s="93"/>
      <c r="FX277" s="92"/>
      <c r="FY277" s="92"/>
      <c r="FZ277" s="95"/>
      <c r="GA277" s="94"/>
      <c r="GB277" s="93"/>
      <c r="GC277" s="93"/>
      <c r="GD277" s="92"/>
      <c r="GE277" s="92"/>
      <c r="GF277" s="95"/>
      <c r="GG277" s="94"/>
      <c r="GH277" s="93"/>
      <c r="GI277" s="93"/>
      <c r="GJ277" s="92"/>
      <c r="GK277" s="92"/>
      <c r="GL277" s="95"/>
      <c r="GM277" s="94"/>
      <c r="GN277" s="93"/>
      <c r="GO277" s="93"/>
      <c r="GP277" s="92"/>
      <c r="GQ277" s="92"/>
      <c r="GR277" s="95"/>
      <c r="GS277" s="94"/>
      <c r="GT277" s="93"/>
      <c r="GU277" s="93"/>
      <c r="GV277" s="92"/>
      <c r="GW277" s="92"/>
      <c r="GX277" s="95"/>
      <c r="GY277" s="94"/>
      <c r="GZ277" s="93"/>
      <c r="HA277" s="93"/>
      <c r="HB277" s="92"/>
      <c r="HC277" s="92"/>
      <c r="HD277" s="95"/>
      <c r="HE277" s="94"/>
      <c r="HF277" s="93"/>
      <c r="HG277" s="93"/>
      <c r="HH277" s="92"/>
      <c r="HI277" s="92"/>
      <c r="HJ277" s="95"/>
      <c r="HK277" s="94"/>
      <c r="HL277" s="93"/>
      <c r="HM277" s="93"/>
      <c r="HN277" s="92"/>
      <c r="HO277" s="92"/>
      <c r="HP277" s="95"/>
      <c r="HQ277" s="94"/>
      <c r="HR277" s="93"/>
      <c r="HS277" s="93"/>
      <c r="HT277" s="92"/>
      <c r="HU277" s="92"/>
    </row>
    <row r="278" spans="1:19" ht="37.5">
      <c r="A278" s="108">
        <v>6</v>
      </c>
      <c r="B278" s="107"/>
      <c r="C278" s="106"/>
      <c r="D278" s="105" t="s">
        <v>153</v>
      </c>
      <c r="E278" s="105" t="s">
        <v>152</v>
      </c>
      <c r="F278" s="96">
        <f t="shared" si="48"/>
        <v>1000</v>
      </c>
      <c r="G278" s="96">
        <f t="shared" si="48"/>
        <v>0</v>
      </c>
      <c r="H278" s="157">
        <f t="shared" si="48"/>
        <v>1000</v>
      </c>
      <c r="I278" s="157"/>
      <c r="J278" s="157">
        <f t="shared" si="49"/>
        <v>0</v>
      </c>
      <c r="K278" s="157">
        <f t="shared" si="49"/>
        <v>0</v>
      </c>
      <c r="L278" s="231">
        <f t="shared" si="49"/>
        <v>1000</v>
      </c>
      <c r="M278" s="231"/>
      <c r="N278" s="231">
        <f t="shared" si="49"/>
        <v>0</v>
      </c>
      <c r="O278" s="157">
        <f t="shared" si="49"/>
        <v>1000</v>
      </c>
      <c r="P278" s="157"/>
      <c r="Q278" s="157">
        <f t="shared" si="49"/>
        <v>0</v>
      </c>
      <c r="R278" s="157">
        <f t="shared" si="49"/>
        <v>1000</v>
      </c>
      <c r="S278" s="212"/>
    </row>
    <row r="279" spans="1:229" s="91" customFormat="1" ht="37.5">
      <c r="A279" s="67"/>
      <c r="B279" s="163" t="s">
        <v>8</v>
      </c>
      <c r="C279" s="67"/>
      <c r="D279" s="66" t="s">
        <v>153</v>
      </c>
      <c r="E279" s="66" t="s">
        <v>152</v>
      </c>
      <c r="F279" s="65">
        <f t="shared" si="48"/>
        <v>1000</v>
      </c>
      <c r="G279" s="65">
        <f t="shared" si="48"/>
        <v>0</v>
      </c>
      <c r="H279" s="158">
        <f t="shared" si="48"/>
        <v>1000</v>
      </c>
      <c r="I279" s="158"/>
      <c r="J279" s="158">
        <f t="shared" si="49"/>
        <v>0</v>
      </c>
      <c r="K279" s="158">
        <f t="shared" si="49"/>
        <v>0</v>
      </c>
      <c r="L279" s="224">
        <f t="shared" si="49"/>
        <v>1000</v>
      </c>
      <c r="M279" s="224"/>
      <c r="N279" s="224">
        <f t="shared" si="49"/>
        <v>0</v>
      </c>
      <c r="O279" s="158">
        <f t="shared" si="49"/>
        <v>1000</v>
      </c>
      <c r="P279" s="158"/>
      <c r="Q279" s="158">
        <f t="shared" si="49"/>
        <v>0</v>
      </c>
      <c r="R279" s="158">
        <f t="shared" si="49"/>
        <v>1000</v>
      </c>
      <c r="S279" s="212"/>
      <c r="T279" s="95"/>
      <c r="U279" s="94"/>
      <c r="V279" s="93"/>
      <c r="W279" s="54"/>
      <c r="X279" s="92"/>
      <c r="Y279" s="92"/>
      <c r="Z279" s="95"/>
      <c r="AA279" s="94"/>
      <c r="AB279" s="93"/>
      <c r="AC279" s="93"/>
      <c r="AD279" s="92"/>
      <c r="AE279" s="92"/>
      <c r="AF279" s="95"/>
      <c r="AG279" s="94"/>
      <c r="AH279" s="93"/>
      <c r="AI279" s="93"/>
      <c r="AJ279" s="92"/>
      <c r="AK279" s="92"/>
      <c r="AL279" s="95"/>
      <c r="AM279" s="94"/>
      <c r="AN279" s="93"/>
      <c r="AO279" s="93"/>
      <c r="AP279" s="92"/>
      <c r="AQ279" s="92"/>
      <c r="AR279" s="95"/>
      <c r="AS279" s="94"/>
      <c r="AT279" s="93"/>
      <c r="AU279" s="93"/>
      <c r="AV279" s="92"/>
      <c r="AW279" s="92"/>
      <c r="AX279" s="95"/>
      <c r="AY279" s="94"/>
      <c r="AZ279" s="93"/>
      <c r="BA279" s="93"/>
      <c r="BB279" s="92"/>
      <c r="BC279" s="92"/>
      <c r="BD279" s="95"/>
      <c r="BE279" s="94"/>
      <c r="BF279" s="93"/>
      <c r="BG279" s="93"/>
      <c r="BH279" s="92"/>
      <c r="BI279" s="92"/>
      <c r="BJ279" s="95"/>
      <c r="BK279" s="94"/>
      <c r="BL279" s="93"/>
      <c r="BM279" s="93"/>
      <c r="BN279" s="92"/>
      <c r="BO279" s="92"/>
      <c r="BP279" s="95"/>
      <c r="BQ279" s="94"/>
      <c r="BR279" s="93"/>
      <c r="BS279" s="93"/>
      <c r="BT279" s="92"/>
      <c r="BU279" s="92"/>
      <c r="BV279" s="95"/>
      <c r="BW279" s="94"/>
      <c r="BX279" s="93"/>
      <c r="BY279" s="93"/>
      <c r="BZ279" s="92"/>
      <c r="CA279" s="92"/>
      <c r="CB279" s="95"/>
      <c r="CC279" s="94"/>
      <c r="CD279" s="93"/>
      <c r="CE279" s="93"/>
      <c r="CF279" s="92"/>
      <c r="CG279" s="92"/>
      <c r="CH279" s="95"/>
      <c r="CI279" s="94"/>
      <c r="CJ279" s="93"/>
      <c r="CK279" s="93"/>
      <c r="CL279" s="92"/>
      <c r="CM279" s="92"/>
      <c r="CN279" s="95"/>
      <c r="CO279" s="94"/>
      <c r="CP279" s="93"/>
      <c r="CQ279" s="93"/>
      <c r="CR279" s="92"/>
      <c r="CS279" s="92"/>
      <c r="CT279" s="95"/>
      <c r="CU279" s="94"/>
      <c r="CV279" s="93"/>
      <c r="CW279" s="93"/>
      <c r="CX279" s="92"/>
      <c r="CY279" s="92"/>
      <c r="CZ279" s="95"/>
      <c r="DA279" s="94"/>
      <c r="DB279" s="93"/>
      <c r="DC279" s="93"/>
      <c r="DD279" s="92"/>
      <c r="DE279" s="92"/>
      <c r="DF279" s="95"/>
      <c r="DG279" s="94"/>
      <c r="DH279" s="93"/>
      <c r="DI279" s="93"/>
      <c r="DJ279" s="92"/>
      <c r="DK279" s="92"/>
      <c r="DL279" s="95"/>
      <c r="DM279" s="94"/>
      <c r="DN279" s="93"/>
      <c r="DO279" s="93"/>
      <c r="DP279" s="92"/>
      <c r="DQ279" s="92"/>
      <c r="DR279" s="95"/>
      <c r="DS279" s="94"/>
      <c r="DT279" s="93"/>
      <c r="DU279" s="93"/>
      <c r="DV279" s="92"/>
      <c r="DW279" s="92"/>
      <c r="DX279" s="95"/>
      <c r="DY279" s="94"/>
      <c r="DZ279" s="93"/>
      <c r="EA279" s="93"/>
      <c r="EB279" s="92"/>
      <c r="EC279" s="92"/>
      <c r="ED279" s="95"/>
      <c r="EE279" s="94"/>
      <c r="EF279" s="93"/>
      <c r="EG279" s="93"/>
      <c r="EH279" s="92"/>
      <c r="EI279" s="92"/>
      <c r="EJ279" s="95"/>
      <c r="EK279" s="94"/>
      <c r="EL279" s="93"/>
      <c r="EM279" s="93"/>
      <c r="EN279" s="92"/>
      <c r="EO279" s="92"/>
      <c r="EP279" s="95"/>
      <c r="EQ279" s="94"/>
      <c r="ER279" s="93"/>
      <c r="ES279" s="93"/>
      <c r="ET279" s="92"/>
      <c r="EU279" s="92"/>
      <c r="EV279" s="95"/>
      <c r="EW279" s="94"/>
      <c r="EX279" s="93"/>
      <c r="EY279" s="93"/>
      <c r="EZ279" s="92"/>
      <c r="FA279" s="92"/>
      <c r="FB279" s="95"/>
      <c r="FC279" s="94"/>
      <c r="FD279" s="93"/>
      <c r="FE279" s="93"/>
      <c r="FF279" s="92"/>
      <c r="FG279" s="92"/>
      <c r="FH279" s="95"/>
      <c r="FI279" s="94"/>
      <c r="FJ279" s="93"/>
      <c r="FK279" s="93"/>
      <c r="FL279" s="92"/>
      <c r="FM279" s="92"/>
      <c r="FN279" s="95"/>
      <c r="FO279" s="94"/>
      <c r="FP279" s="93"/>
      <c r="FQ279" s="93"/>
      <c r="FR279" s="92"/>
      <c r="FS279" s="92"/>
      <c r="FT279" s="95"/>
      <c r="FU279" s="94"/>
      <c r="FV279" s="93"/>
      <c r="FW279" s="93"/>
      <c r="FX279" s="92"/>
      <c r="FY279" s="92"/>
      <c r="FZ279" s="95"/>
      <c r="GA279" s="94"/>
      <c r="GB279" s="93"/>
      <c r="GC279" s="93"/>
      <c r="GD279" s="92"/>
      <c r="GE279" s="92"/>
      <c r="GF279" s="95"/>
      <c r="GG279" s="94"/>
      <c r="GH279" s="93"/>
      <c r="GI279" s="93"/>
      <c r="GJ279" s="92"/>
      <c r="GK279" s="92"/>
      <c r="GL279" s="95"/>
      <c r="GM279" s="94"/>
      <c r="GN279" s="93"/>
      <c r="GO279" s="93"/>
      <c r="GP279" s="92"/>
      <c r="GQ279" s="92"/>
      <c r="GR279" s="95"/>
      <c r="GS279" s="94"/>
      <c r="GT279" s="93"/>
      <c r="GU279" s="93"/>
      <c r="GV279" s="92"/>
      <c r="GW279" s="92"/>
      <c r="GX279" s="95"/>
      <c r="GY279" s="94"/>
      <c r="GZ279" s="93"/>
      <c r="HA279" s="93"/>
      <c r="HB279" s="92"/>
      <c r="HC279" s="92"/>
      <c r="HD279" s="95"/>
      <c r="HE279" s="94"/>
      <c r="HF279" s="93"/>
      <c r="HG279" s="93"/>
      <c r="HH279" s="92"/>
      <c r="HI279" s="92"/>
      <c r="HJ279" s="95"/>
      <c r="HK279" s="94"/>
      <c r="HL279" s="93"/>
      <c r="HM279" s="93"/>
      <c r="HN279" s="92"/>
      <c r="HO279" s="92"/>
      <c r="HP279" s="95"/>
      <c r="HQ279" s="94"/>
      <c r="HR279" s="93"/>
      <c r="HS279" s="93"/>
      <c r="HT279" s="92"/>
      <c r="HU279" s="92"/>
    </row>
    <row r="280" spans="1:19" ht="35.25" customHeight="1">
      <c r="A280" s="104"/>
      <c r="B280" s="104"/>
      <c r="C280" s="23">
        <v>1</v>
      </c>
      <c r="D280" s="102" t="s">
        <v>151</v>
      </c>
      <c r="E280" s="102" t="s">
        <v>150</v>
      </c>
      <c r="F280" s="90">
        <v>1000</v>
      </c>
      <c r="G280" s="90"/>
      <c r="H280" s="146">
        <f>F280+G280</f>
        <v>1000</v>
      </c>
      <c r="I280" s="146"/>
      <c r="J280" s="146"/>
      <c r="K280" s="146"/>
      <c r="L280" s="154">
        <f>H280+J280</f>
        <v>1000</v>
      </c>
      <c r="M280" s="154"/>
      <c r="N280" s="154"/>
      <c r="O280" s="146">
        <f>L280+N280</f>
        <v>1000</v>
      </c>
      <c r="P280" s="146"/>
      <c r="Q280" s="146"/>
      <c r="R280" s="146">
        <f>O280+P280+Q280</f>
        <v>1000</v>
      </c>
      <c r="S280" s="212"/>
    </row>
    <row r="281" spans="1:19" ht="30" customHeight="1">
      <c r="A281" s="88"/>
      <c r="B281" s="89"/>
      <c r="C281" s="88"/>
      <c r="D281" s="87" t="s">
        <v>149</v>
      </c>
      <c r="E281" s="87" t="s">
        <v>148</v>
      </c>
      <c r="F281" s="86">
        <f aca="true" t="shared" si="50" ref="F281:O281">F255-F256-F272</f>
        <v>518881</v>
      </c>
      <c r="G281" s="86">
        <f t="shared" si="50"/>
        <v>-898742</v>
      </c>
      <c r="H281" s="147">
        <f t="shared" si="50"/>
        <v>-379861</v>
      </c>
      <c r="I281" s="147"/>
      <c r="J281" s="147">
        <f t="shared" si="50"/>
        <v>-2631227.1</v>
      </c>
      <c r="K281" s="147">
        <f t="shared" si="50"/>
        <v>343672</v>
      </c>
      <c r="L281" s="218">
        <f t="shared" si="50"/>
        <v>-2667416.100000009</v>
      </c>
      <c r="M281" s="218">
        <f t="shared" si="50"/>
        <v>-444870</v>
      </c>
      <c r="N281" s="218">
        <f t="shared" si="50"/>
        <v>444870</v>
      </c>
      <c r="O281" s="147">
        <f t="shared" si="50"/>
        <v>-2667416.100000009</v>
      </c>
      <c r="P281" s="147">
        <f>P255-P256-P272</f>
        <v>-838720.5</v>
      </c>
      <c r="Q281" s="147">
        <f>Q255-Q256-Q272</f>
        <v>838720.5</v>
      </c>
      <c r="R281" s="147">
        <f>R255-R256-R272</f>
        <v>-2667416.100000009</v>
      </c>
      <c r="S281" s="245"/>
    </row>
    <row r="282" spans="1:19" ht="47.25" customHeight="1">
      <c r="A282" s="88"/>
      <c r="B282" s="89"/>
      <c r="C282" s="88"/>
      <c r="D282" s="87" t="s">
        <v>147</v>
      </c>
      <c r="E282" s="87" t="s">
        <v>146</v>
      </c>
      <c r="F282" s="86">
        <f>F283-F287</f>
        <v>-518881</v>
      </c>
      <c r="G282" s="86">
        <f>G283-G287</f>
        <v>898742</v>
      </c>
      <c r="H282" s="147">
        <f>(-1)*(H287-H283-H291)</f>
        <v>379861</v>
      </c>
      <c r="I282" s="147"/>
      <c r="J282" s="147">
        <f aca="true" t="shared" si="51" ref="J282:O282">(-1)*(J287-J283-J291)</f>
        <v>2287555.0999999996</v>
      </c>
      <c r="K282" s="147">
        <f t="shared" si="51"/>
        <v>0</v>
      </c>
      <c r="L282" s="218">
        <f t="shared" si="51"/>
        <v>2667416.0999999996</v>
      </c>
      <c r="M282" s="218">
        <f t="shared" si="51"/>
        <v>0</v>
      </c>
      <c r="N282" s="218">
        <f t="shared" si="51"/>
        <v>0</v>
      </c>
      <c r="O282" s="147">
        <f t="shared" si="51"/>
        <v>2667416.0999999996</v>
      </c>
      <c r="P282" s="147">
        <f>(-1)*(P287-P283-P291)</f>
        <v>0</v>
      </c>
      <c r="Q282" s="147">
        <f>(-1)*(Q287-Q283-Q291)</f>
        <v>0</v>
      </c>
      <c r="R282" s="147">
        <f>(-1)*(R287-R283-R291)</f>
        <v>2667416.0999999996</v>
      </c>
      <c r="S282" s="147"/>
    </row>
    <row r="283" spans="1:19" s="73" customFormat="1" ht="19.5" customHeight="1" hidden="1" outlineLevel="1">
      <c r="A283" s="77"/>
      <c r="B283" s="76"/>
      <c r="C283" s="76"/>
      <c r="D283" s="75" t="s">
        <v>145</v>
      </c>
      <c r="E283" s="75" t="s">
        <v>144</v>
      </c>
      <c r="F283" s="74">
        <f aca="true" t="shared" si="52" ref="F283:H285">F284</f>
        <v>0</v>
      </c>
      <c r="G283" s="74">
        <f t="shared" si="52"/>
        <v>898742</v>
      </c>
      <c r="H283" s="161">
        <f t="shared" si="52"/>
        <v>898742</v>
      </c>
      <c r="I283" s="161"/>
      <c r="J283" s="161">
        <f aca="true" t="shared" si="53" ref="J283:R285">J284</f>
        <v>323600</v>
      </c>
      <c r="K283" s="161">
        <f t="shared" si="53"/>
        <v>0</v>
      </c>
      <c r="L283" s="234">
        <f t="shared" si="53"/>
        <v>1222342</v>
      </c>
      <c r="M283" s="234"/>
      <c r="N283" s="234">
        <f t="shared" si="53"/>
        <v>0</v>
      </c>
      <c r="O283" s="161">
        <f t="shared" si="53"/>
        <v>1222342</v>
      </c>
      <c r="P283" s="161"/>
      <c r="Q283" s="161">
        <f t="shared" si="53"/>
        <v>0</v>
      </c>
      <c r="R283" s="161">
        <f t="shared" si="53"/>
        <v>1222342</v>
      </c>
      <c r="S283" s="212"/>
    </row>
    <row r="284" spans="1:19" ht="18.75" customHeight="1" hidden="1" outlineLevel="1">
      <c r="A284" s="85" t="s">
        <v>45</v>
      </c>
      <c r="B284" s="84"/>
      <c r="C284" s="83"/>
      <c r="D284" s="69" t="s">
        <v>145</v>
      </c>
      <c r="E284" s="69" t="s">
        <v>144</v>
      </c>
      <c r="F284" s="68">
        <f t="shared" si="52"/>
        <v>0</v>
      </c>
      <c r="G284" s="68">
        <f t="shared" si="52"/>
        <v>898742</v>
      </c>
      <c r="H284" s="162">
        <f t="shared" si="52"/>
        <v>898742</v>
      </c>
      <c r="I284" s="162"/>
      <c r="J284" s="162">
        <f t="shared" si="53"/>
        <v>323600</v>
      </c>
      <c r="K284" s="162">
        <f t="shared" si="53"/>
        <v>0</v>
      </c>
      <c r="L284" s="235">
        <f t="shared" si="53"/>
        <v>1222342</v>
      </c>
      <c r="M284" s="235"/>
      <c r="N284" s="235">
        <f t="shared" si="53"/>
        <v>0</v>
      </c>
      <c r="O284" s="162">
        <f t="shared" si="53"/>
        <v>1222342</v>
      </c>
      <c r="P284" s="162"/>
      <c r="Q284" s="162">
        <f t="shared" si="53"/>
        <v>0</v>
      </c>
      <c r="R284" s="162">
        <f t="shared" si="53"/>
        <v>1222342</v>
      </c>
      <c r="S284" s="212"/>
    </row>
    <row r="285" spans="1:19" ht="18.75" customHeight="1" hidden="1" outlineLevel="1">
      <c r="A285" s="82"/>
      <c r="B285" s="82" t="s">
        <v>8</v>
      </c>
      <c r="C285" s="82"/>
      <c r="D285" s="66" t="s">
        <v>143</v>
      </c>
      <c r="E285" s="66" t="s">
        <v>142</v>
      </c>
      <c r="F285" s="65">
        <f t="shared" si="52"/>
        <v>0</v>
      </c>
      <c r="G285" s="65">
        <f t="shared" si="52"/>
        <v>898742</v>
      </c>
      <c r="H285" s="158">
        <f t="shared" si="52"/>
        <v>898742</v>
      </c>
      <c r="I285" s="158"/>
      <c r="J285" s="158">
        <f t="shared" si="53"/>
        <v>323600</v>
      </c>
      <c r="K285" s="158">
        <f t="shared" si="53"/>
        <v>0</v>
      </c>
      <c r="L285" s="224">
        <f t="shared" si="53"/>
        <v>1222342</v>
      </c>
      <c r="M285" s="224"/>
      <c r="N285" s="224">
        <f t="shared" si="53"/>
        <v>0</v>
      </c>
      <c r="O285" s="158">
        <f t="shared" si="53"/>
        <v>1222342</v>
      </c>
      <c r="P285" s="158"/>
      <c r="Q285" s="158">
        <f t="shared" si="53"/>
        <v>0</v>
      </c>
      <c r="R285" s="158">
        <f t="shared" si="53"/>
        <v>1222342</v>
      </c>
      <c r="S285" s="212"/>
    </row>
    <row r="286" spans="1:19" s="78" customFormat="1" ht="18.75" customHeight="1" hidden="1" outlineLevel="1">
      <c r="A286" s="81"/>
      <c r="B286" s="81"/>
      <c r="C286" s="81" t="s">
        <v>24</v>
      </c>
      <c r="D286" s="80" t="s">
        <v>141</v>
      </c>
      <c r="E286" s="80" t="s">
        <v>140</v>
      </c>
      <c r="F286" s="79"/>
      <c r="G286" s="61">
        <f>467000+431742</f>
        <v>898742</v>
      </c>
      <c r="H286" s="146">
        <f>F286+G286</f>
        <v>898742</v>
      </c>
      <c r="I286" s="146"/>
      <c r="J286" s="146">
        <f>247600+76000</f>
        <v>323600</v>
      </c>
      <c r="K286" s="146"/>
      <c r="L286" s="154">
        <f>H286+J286</f>
        <v>1222342</v>
      </c>
      <c r="M286" s="154"/>
      <c r="N286" s="154"/>
      <c r="O286" s="146">
        <f>L286+N286</f>
        <v>1222342</v>
      </c>
      <c r="P286" s="146"/>
      <c r="Q286" s="146"/>
      <c r="R286" s="146">
        <f>O286+Q286</f>
        <v>1222342</v>
      </c>
      <c r="S286" s="212"/>
    </row>
    <row r="287" spans="1:19" s="73" customFormat="1" ht="19.5" customHeight="1" hidden="1" outlineLevel="1">
      <c r="A287" s="77"/>
      <c r="B287" s="76"/>
      <c r="C287" s="76"/>
      <c r="D287" s="75" t="s">
        <v>139</v>
      </c>
      <c r="E287" s="75" t="s">
        <v>138</v>
      </c>
      <c r="F287" s="74">
        <f>F288</f>
        <v>518881</v>
      </c>
      <c r="G287" s="74">
        <f>G288</f>
        <v>0</v>
      </c>
      <c r="H287" s="161">
        <f>H288</f>
        <v>518881</v>
      </c>
      <c r="I287" s="161"/>
      <c r="J287" s="161">
        <f>J288</f>
        <v>0</v>
      </c>
      <c r="K287" s="161">
        <f>K288</f>
        <v>0</v>
      </c>
      <c r="L287" s="234">
        <f>L288</f>
        <v>518881</v>
      </c>
      <c r="M287" s="234"/>
      <c r="N287" s="234">
        <f>N288</f>
        <v>0</v>
      </c>
      <c r="O287" s="161">
        <f>O288</f>
        <v>518881</v>
      </c>
      <c r="P287" s="161"/>
      <c r="Q287" s="161">
        <f>Q288</f>
        <v>0</v>
      </c>
      <c r="R287" s="161">
        <f>R288</f>
        <v>518881</v>
      </c>
      <c r="S287" s="212"/>
    </row>
    <row r="288" spans="1:19" ht="18.75" customHeight="1" hidden="1" outlineLevel="1">
      <c r="A288" s="72">
        <v>16</v>
      </c>
      <c r="B288" s="71"/>
      <c r="C288" s="70"/>
      <c r="D288" s="69" t="s">
        <v>139</v>
      </c>
      <c r="E288" s="69" t="s">
        <v>138</v>
      </c>
      <c r="F288" s="68">
        <f aca="true" t="shared" si="54" ref="F288:H289">F289</f>
        <v>518881</v>
      </c>
      <c r="G288" s="68">
        <f t="shared" si="54"/>
        <v>0</v>
      </c>
      <c r="H288" s="162">
        <f t="shared" si="54"/>
        <v>518881</v>
      </c>
      <c r="I288" s="162"/>
      <c r="J288" s="162">
        <f aca="true" t="shared" si="55" ref="J288:R289">J289</f>
        <v>0</v>
      </c>
      <c r="K288" s="162">
        <f t="shared" si="55"/>
        <v>0</v>
      </c>
      <c r="L288" s="235">
        <f t="shared" si="55"/>
        <v>518881</v>
      </c>
      <c r="M288" s="235"/>
      <c r="N288" s="235">
        <f t="shared" si="55"/>
        <v>0</v>
      </c>
      <c r="O288" s="162">
        <f t="shared" si="55"/>
        <v>518881</v>
      </c>
      <c r="P288" s="162"/>
      <c r="Q288" s="162">
        <f t="shared" si="55"/>
        <v>0</v>
      </c>
      <c r="R288" s="162">
        <f t="shared" si="55"/>
        <v>518881</v>
      </c>
      <c r="S288" s="212"/>
    </row>
    <row r="289" spans="1:19" ht="18.75" customHeight="1" hidden="1" outlineLevel="1">
      <c r="A289" s="67"/>
      <c r="B289" s="67">
        <v>257</v>
      </c>
      <c r="C289" s="67"/>
      <c r="D289" s="66" t="s">
        <v>137</v>
      </c>
      <c r="E289" s="66" t="s">
        <v>136</v>
      </c>
      <c r="F289" s="65">
        <f t="shared" si="54"/>
        <v>518881</v>
      </c>
      <c r="G289" s="65">
        <f t="shared" si="54"/>
        <v>0</v>
      </c>
      <c r="H289" s="158">
        <f t="shared" si="54"/>
        <v>518881</v>
      </c>
      <c r="I289" s="158"/>
      <c r="J289" s="158">
        <f t="shared" si="55"/>
        <v>0</v>
      </c>
      <c r="K289" s="158">
        <f t="shared" si="55"/>
        <v>0</v>
      </c>
      <c r="L289" s="224">
        <f t="shared" si="55"/>
        <v>518881</v>
      </c>
      <c r="M289" s="224"/>
      <c r="N289" s="224">
        <f t="shared" si="55"/>
        <v>0</v>
      </c>
      <c r="O289" s="158">
        <f t="shared" si="55"/>
        <v>518881</v>
      </c>
      <c r="P289" s="158"/>
      <c r="Q289" s="158">
        <f t="shared" si="55"/>
        <v>0</v>
      </c>
      <c r="R289" s="158">
        <f t="shared" si="55"/>
        <v>518881</v>
      </c>
      <c r="S289" s="212"/>
    </row>
    <row r="290" spans="1:19" ht="37.5" customHeight="1" hidden="1" outlineLevel="1">
      <c r="A290" s="64"/>
      <c r="B290" s="63"/>
      <c r="C290" s="82" t="s">
        <v>578</v>
      </c>
      <c r="D290" s="62" t="s">
        <v>135</v>
      </c>
      <c r="E290" s="62" t="s">
        <v>134</v>
      </c>
      <c r="F290" s="61">
        <f>499000+19881</f>
        <v>518881</v>
      </c>
      <c r="G290" s="61"/>
      <c r="H290" s="146">
        <f>F290+G290</f>
        <v>518881</v>
      </c>
      <c r="I290" s="146"/>
      <c r="J290" s="146"/>
      <c r="K290" s="146"/>
      <c r="L290" s="154">
        <f>H290+J290</f>
        <v>518881</v>
      </c>
      <c r="M290" s="154"/>
      <c r="N290" s="154"/>
      <c r="O290" s="146">
        <f>L290+N290</f>
        <v>518881</v>
      </c>
      <c r="P290" s="146"/>
      <c r="Q290" s="146"/>
      <c r="R290" s="146">
        <f>O290+Q290</f>
        <v>518881</v>
      </c>
      <c r="S290" s="212"/>
    </row>
    <row r="291" spans="1:19" ht="18.75" customHeight="1" hidden="1" outlineLevel="1">
      <c r="A291" s="85">
        <v>8</v>
      </c>
      <c r="B291" s="84"/>
      <c r="C291" s="83"/>
      <c r="D291" s="69" t="s">
        <v>533</v>
      </c>
      <c r="E291" s="69" t="s">
        <v>534</v>
      </c>
      <c r="F291" s="68"/>
      <c r="G291" s="68"/>
      <c r="H291" s="162"/>
      <c r="I291" s="162"/>
      <c r="J291" s="162">
        <f aca="true" t="shared" si="56" ref="J291:N292">J292</f>
        <v>1963955.0999999999</v>
      </c>
      <c r="K291" s="162">
        <f t="shared" si="56"/>
        <v>0</v>
      </c>
      <c r="L291" s="235">
        <f>L292</f>
        <v>1963955.0999999999</v>
      </c>
      <c r="M291" s="235"/>
      <c r="N291" s="235">
        <f t="shared" si="56"/>
        <v>0</v>
      </c>
      <c r="O291" s="162">
        <f>O292</f>
        <v>1963955.0999999999</v>
      </c>
      <c r="P291" s="162"/>
      <c r="Q291" s="162">
        <f>Q292</f>
        <v>0</v>
      </c>
      <c r="R291" s="162">
        <f>R292</f>
        <v>1963955.0999999999</v>
      </c>
      <c r="S291" s="212"/>
    </row>
    <row r="292" spans="1:19" ht="18.75" customHeight="1" hidden="1" outlineLevel="1">
      <c r="A292" s="82"/>
      <c r="B292" s="82" t="s">
        <v>8</v>
      </c>
      <c r="C292" s="82"/>
      <c r="D292" s="66" t="s">
        <v>535</v>
      </c>
      <c r="E292" s="66" t="s">
        <v>536</v>
      </c>
      <c r="F292" s="65"/>
      <c r="G292" s="65"/>
      <c r="H292" s="158"/>
      <c r="I292" s="158"/>
      <c r="J292" s="158">
        <f t="shared" si="56"/>
        <v>1963955.0999999999</v>
      </c>
      <c r="K292" s="158">
        <f t="shared" si="56"/>
        <v>0</v>
      </c>
      <c r="L292" s="224">
        <f>H292+J292</f>
        <v>1963955.0999999999</v>
      </c>
      <c r="M292" s="224"/>
      <c r="N292" s="224">
        <f t="shared" si="56"/>
        <v>0</v>
      </c>
      <c r="O292" s="158">
        <f>O293</f>
        <v>1963955.0999999999</v>
      </c>
      <c r="P292" s="158"/>
      <c r="Q292" s="158">
        <f>Q293</f>
        <v>0</v>
      </c>
      <c r="R292" s="158">
        <f>R293</f>
        <v>1963955.0999999999</v>
      </c>
      <c r="S292" s="212"/>
    </row>
    <row r="293" spans="1:19" s="78" customFormat="1" ht="18.75" customHeight="1" hidden="1" outlineLevel="1">
      <c r="A293" s="81"/>
      <c r="B293" s="81"/>
      <c r="C293" s="81">
        <v>1</v>
      </c>
      <c r="D293" s="80" t="s">
        <v>537</v>
      </c>
      <c r="E293" s="80" t="s">
        <v>538</v>
      </c>
      <c r="F293" s="79"/>
      <c r="G293" s="61"/>
      <c r="H293" s="146"/>
      <c r="I293" s="146"/>
      <c r="J293" s="146">
        <f>1161501.4-5501-43810+973863-122098.3</f>
        <v>1963955.0999999999</v>
      </c>
      <c r="K293" s="146"/>
      <c r="L293" s="154">
        <f>H293+J293</f>
        <v>1963955.0999999999</v>
      </c>
      <c r="M293" s="154"/>
      <c r="N293" s="154"/>
      <c r="O293" s="146">
        <f>L293+N293</f>
        <v>1963955.0999999999</v>
      </c>
      <c r="P293" s="146"/>
      <c r="Q293" s="146"/>
      <c r="R293" s="146">
        <f>O293+Q293</f>
        <v>1963955.0999999999</v>
      </c>
      <c r="S293" s="212"/>
    </row>
    <row r="294" spans="6:19" ht="15" collapsed="1">
      <c r="F294" s="59"/>
      <c r="G294" s="58"/>
      <c r="S294" s="212"/>
    </row>
    <row r="295" spans="5:17" ht="18.75">
      <c r="E295" s="60"/>
      <c r="F295" s="60">
        <v>1963955.1</v>
      </c>
      <c r="G295" s="60">
        <v>1963955.1</v>
      </c>
      <c r="H295" s="146">
        <v>1963955.1</v>
      </c>
      <c r="I295" s="146"/>
      <c r="J295" s="146">
        <f>H295-J293</f>
        <v>0</v>
      </c>
      <c r="K295" s="146" t="e">
        <f>#REF!-K293</f>
        <v>#REF!</v>
      </c>
      <c r="N295" s="154"/>
      <c r="Q295" s="146"/>
    </row>
    <row r="297" ht="15">
      <c r="F297" s="55">
        <f>F281+F282</f>
        <v>0</v>
      </c>
    </row>
    <row r="298" spans="10:18" ht="15">
      <c r="J298" s="155">
        <f>J282+J281</f>
        <v>-343672.00000000047</v>
      </c>
      <c r="K298" s="155">
        <f>K282+K281</f>
        <v>343672</v>
      </c>
      <c r="M298" s="236">
        <f aca="true" t="shared" si="57" ref="M298:R298">M281+M282</f>
        <v>-444870</v>
      </c>
      <c r="N298" s="236">
        <f t="shared" si="57"/>
        <v>444870</v>
      </c>
      <c r="O298" s="236">
        <f t="shared" si="57"/>
        <v>-9.313225746154785E-09</v>
      </c>
      <c r="P298" s="236">
        <f t="shared" si="57"/>
        <v>-838720.5</v>
      </c>
      <c r="Q298" s="236">
        <f t="shared" si="57"/>
        <v>838720.5</v>
      </c>
      <c r="R298" s="236">
        <f t="shared" si="57"/>
        <v>-9.313225746154785E-09</v>
      </c>
    </row>
  </sheetData>
  <sheetProtection/>
  <printOptions/>
  <pageMargins left="0.984251968503937" right="0.5511811023622047" top="0.984251968503937" bottom="0.984251968503937" header="0.31496062992125984" footer="0.31496062992125984"/>
  <pageSetup blackAndWhite="1" fitToHeight="0" horizontalDpi="600" verticalDpi="600" orientation="portrait" paperSize="9" scale="74" r:id="rId1"/>
  <headerFooter>
    <oddHeader>&amp;C&amp;"Arial,обычный"&amp;10&amp;P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УЭиБП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Жанна</dc:creator>
  <cp:keywords/>
  <dc:description/>
  <cp:lastModifiedBy>Рашат</cp:lastModifiedBy>
  <cp:lastPrinted>2011-06-16T03:43:25Z</cp:lastPrinted>
  <dcterms:created xsi:type="dcterms:W3CDTF">2011-02-19T07:48:54Z</dcterms:created>
  <dcterms:modified xsi:type="dcterms:W3CDTF">2011-06-24T13:28:17Z</dcterms:modified>
  <cp:category/>
  <cp:version/>
  <cp:contentType/>
  <cp:contentStatus/>
</cp:coreProperties>
</file>